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Sales Energizer\CCTX\The Ridge Apts\"/>
    </mc:Choice>
  </mc:AlternateContent>
  <xr:revisionPtr revIDLastSave="0" documentId="13_ncr:1_{EA66103C-E0B9-4B27-9F92-9AED4BE1F7B5}" xr6:coauthVersionLast="45" xr6:coauthVersionMax="45" xr10:uidLastSave="{00000000-0000-0000-0000-000000000000}"/>
  <bookViews>
    <workbookView xWindow="1752" yWindow="168" windowWidth="17160" windowHeight="12192" tabRatio="693" firstSheet="1" activeTab="4" xr2:uid="{00000000-000D-0000-FFFF-FFFF00000000}"/>
  </bookViews>
  <sheets>
    <sheet name="Acqusition-NF" sheetId="1" r:id="rId1"/>
    <sheet name=" Year 1 Projection - NF" sheetId="8" r:id="rId2"/>
    <sheet name="5 YEAR Pro-Forma" sheetId="13" r:id="rId3"/>
    <sheet name="Cash Flow &amp; Return" sheetId="14" r:id="rId4"/>
    <sheet name="Equity Return on Resale" sheetId="18" r:id="rId5"/>
    <sheet name="Mortgage Amortization" sheetId="16" r:id="rId6"/>
  </sheets>
  <externalReferences>
    <externalReference r:id="rId7"/>
  </externalReferences>
  <definedNames>
    <definedName name="_Order1" hidden="1">0</definedName>
    <definedName name="DATA_01" localSheetId="4" hidden="1">#REF!</definedName>
    <definedName name="DATA_01" localSheetId="5" hidden="1">'Mortgage Amortization'!$E$4:$E$8</definedName>
    <definedName name="DATA_01" hidden="1">#REF!</definedName>
    <definedName name="IntroPrintArea" localSheetId="3" hidden="1">#REF!</definedName>
    <definedName name="IntroPrintArea" localSheetId="4" hidden="1">#REF!</definedName>
    <definedName name="IntroPrintArea" localSheetId="5" hidden="1">#REF!</definedName>
    <definedName name="IntroPrintArea" hidden="1">#REF!</definedName>
    <definedName name="Look1Area" localSheetId="3">#REF!</definedName>
    <definedName name="Look1Area" localSheetId="4">#REF!</definedName>
    <definedName name="Look1Area" localSheetId="5">#REF!</definedName>
    <definedName name="Look1Area">#REF!</definedName>
    <definedName name="Look2Area" localSheetId="3">#REF!</definedName>
    <definedName name="Look2Area" localSheetId="4">#REF!</definedName>
    <definedName name="Look2Area" localSheetId="5">#REF!</definedName>
    <definedName name="Look2Area">#REF!</definedName>
    <definedName name="Look3Area" localSheetId="3">#REF!</definedName>
    <definedName name="Look3Area" localSheetId="4">#REF!</definedName>
    <definedName name="Look3Area" localSheetId="5">#REF!</definedName>
    <definedName name="Look3Area">#REF!</definedName>
    <definedName name="Look4Area" localSheetId="3">#REF!</definedName>
    <definedName name="Look4Area" localSheetId="4">#REF!</definedName>
    <definedName name="Look4Area" localSheetId="5">#REF!</definedName>
    <definedName name="Look4Area">#REF!</definedName>
    <definedName name="Look5Area" localSheetId="3">#REF!</definedName>
    <definedName name="Look5Area" localSheetId="4">#REF!</definedName>
    <definedName name="Look5Area" localSheetId="5">#REF!</definedName>
    <definedName name="Look5Area">#REF!</definedName>
    <definedName name="_xlnm.Print_Area" localSheetId="2">'5 YEAR Pro-Forma'!$C$1:$J$40</definedName>
    <definedName name="_xlnm.Print_Area" localSheetId="3">'Cash Flow &amp; Return'!$B$2:$J$17</definedName>
    <definedName name="_xlnm.Print_Area" localSheetId="5">'Mortgage Amortization'!$B$1:$J$56</definedName>
    <definedName name="TemplatePrintArea" localSheetId="4">#REF!</definedName>
    <definedName name="TemplatePrintArea" localSheetId="5">'Mortgage Amortization'!$B$1:$J$56</definedName>
    <definedName name="TemplatePrint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8" l="1"/>
  <c r="G4" i="18" l="1"/>
  <c r="E14" i="18"/>
  <c r="F22" i="18"/>
  <c r="F23" i="18" s="1"/>
  <c r="Q208" i="16"/>
  <c r="Q210" i="16" s="1"/>
  <c r="O192" i="16"/>
  <c r="Q209" i="16"/>
  <c r="J5" i="16" l="1"/>
  <c r="E20" i="16" s="1"/>
  <c r="L10" i="18"/>
  <c r="K10" i="18"/>
  <c r="G10" i="18"/>
  <c r="J10" i="18"/>
  <c r="H10" i="18"/>
  <c r="I10" i="18"/>
  <c r="H4" i="18"/>
  <c r="I4" i="18" s="1"/>
  <c r="J4" i="18" s="1"/>
  <c r="K4" i="18" s="1"/>
  <c r="L4" i="18" s="1"/>
  <c r="C12" i="16"/>
  <c r="B12" i="16"/>
  <c r="O193" i="16"/>
  <c r="G10" i="13"/>
  <c r="H10" i="13" s="1"/>
  <c r="I10" i="13" s="1"/>
  <c r="F12" i="13"/>
  <c r="G19" i="13"/>
  <c r="H19" i="13" s="1"/>
  <c r="I19" i="13" s="1"/>
  <c r="G20" i="13"/>
  <c r="H20" i="13" s="1"/>
  <c r="I20" i="13" s="1"/>
  <c r="J20" i="13" s="1"/>
  <c r="G21" i="13"/>
  <c r="H21" i="13" s="1"/>
  <c r="I21" i="13" s="1"/>
  <c r="J21" i="13" s="1"/>
  <c r="G22" i="13"/>
  <c r="H22" i="13" s="1"/>
  <c r="I22" i="13" s="1"/>
  <c r="J22" i="13" s="1"/>
  <c r="G23" i="13"/>
  <c r="H23" i="13" s="1"/>
  <c r="I23" i="13" s="1"/>
  <c r="J23" i="13" s="1"/>
  <c r="G24" i="13"/>
  <c r="H24" i="13" s="1"/>
  <c r="I24" i="13" s="1"/>
  <c r="J24" i="13" s="1"/>
  <c r="G25" i="13"/>
  <c r="H25" i="13" s="1"/>
  <c r="I25" i="13" s="1"/>
  <c r="J25" i="13" s="1"/>
  <c r="G26" i="13"/>
  <c r="H26" i="13" s="1"/>
  <c r="I26" i="13" s="1"/>
  <c r="J26" i="13" s="1"/>
  <c r="G27" i="13"/>
  <c r="H27" i="13" s="1"/>
  <c r="I27" i="13" s="1"/>
  <c r="J27" i="13" s="1"/>
  <c r="F28" i="13"/>
  <c r="G31" i="13"/>
  <c r="H31" i="13"/>
  <c r="I31" i="13"/>
  <c r="J31" i="13"/>
  <c r="G39" i="13"/>
  <c r="H39" i="13" s="1"/>
  <c r="I39" i="13" s="1"/>
  <c r="J39" i="13" s="1"/>
  <c r="G12" i="13" l="1"/>
  <c r="G28" i="13"/>
  <c r="F14" i="13"/>
  <c r="F17" i="13" s="1"/>
  <c r="F30" i="13" s="1"/>
  <c r="F32" i="13" s="1"/>
  <c r="F36" i="13" s="1"/>
  <c r="F37" i="13" s="1"/>
  <c r="F38" i="13" s="1"/>
  <c r="J4" i="16"/>
  <c r="D12" i="16" s="1"/>
  <c r="E15" i="16"/>
  <c r="E22" i="16"/>
  <c r="E18" i="16"/>
  <c r="E21" i="16"/>
  <c r="E12" i="16"/>
  <c r="E19" i="16"/>
  <c r="E23" i="16"/>
  <c r="E17" i="16"/>
  <c r="E16" i="16"/>
  <c r="E13" i="16"/>
  <c r="E14" i="16"/>
  <c r="B13" i="16"/>
  <c r="C13" i="16"/>
  <c r="O194" i="16"/>
  <c r="Q211" i="16"/>
  <c r="J19" i="13"/>
  <c r="J28" i="13" s="1"/>
  <c r="I28" i="13"/>
  <c r="J10" i="13"/>
  <c r="J12" i="13" s="1"/>
  <c r="I12" i="13"/>
  <c r="G14" i="13"/>
  <c r="G17" i="13" s="1"/>
  <c r="H28" i="13"/>
  <c r="H12" i="13"/>
  <c r="D14" i="1"/>
  <c r="D14" i="8" s="1"/>
  <c r="F14" i="8"/>
  <c r="F16" i="8" s="1"/>
  <c r="F34" i="1"/>
  <c r="C26" i="8"/>
  <c r="C5" i="8"/>
  <c r="E42" i="8"/>
  <c r="M34" i="8"/>
  <c r="M33" i="8"/>
  <c r="M32" i="8"/>
  <c r="M26" i="8"/>
  <c r="M23" i="8"/>
  <c r="I30" i="8"/>
  <c r="I29" i="8"/>
  <c r="I28" i="8"/>
  <c r="I27" i="8"/>
  <c r="I24" i="8"/>
  <c r="I23" i="8"/>
  <c r="I22" i="8"/>
  <c r="I18" i="8"/>
  <c r="I17" i="8"/>
  <c r="I15" i="8"/>
  <c r="D30" i="8"/>
  <c r="D29" i="8"/>
  <c r="D28" i="8"/>
  <c r="D27" i="8"/>
  <c r="I13" i="8"/>
  <c r="D25" i="8"/>
  <c r="D24" i="8"/>
  <c r="D23" i="8"/>
  <c r="D22" i="8"/>
  <c r="D18" i="8"/>
  <c r="D17" i="8"/>
  <c r="D15" i="8"/>
  <c r="D13" i="8"/>
  <c r="D9" i="8"/>
  <c r="D7" i="8"/>
  <c r="M13" i="8" s="1"/>
  <c r="D6" i="8"/>
  <c r="G17" i="8" s="1"/>
  <c r="M18" i="8"/>
  <c r="M17" i="8"/>
  <c r="M14" i="8"/>
  <c r="D34" i="1"/>
  <c r="D34" i="8" s="1"/>
  <c r="F34" i="8" s="1"/>
  <c r="E23" i="1"/>
  <c r="R14" i="1" s="1"/>
  <c r="E30" i="1"/>
  <c r="R22" i="1" s="1"/>
  <c r="E29" i="1"/>
  <c r="R21" i="1" s="1"/>
  <c r="E28" i="1"/>
  <c r="R19" i="1" s="1"/>
  <c r="E27" i="1"/>
  <c r="R18" i="1" s="1"/>
  <c r="E25" i="1"/>
  <c r="R16" i="1" s="1"/>
  <c r="E24" i="1"/>
  <c r="R15" i="1" s="1"/>
  <c r="E22" i="1"/>
  <c r="R13" i="1" s="1"/>
  <c r="I9" i="1"/>
  <c r="I8" i="1"/>
  <c r="M35" i="1"/>
  <c r="F37" i="1"/>
  <c r="M7" i="1"/>
  <c r="M8" i="1" s="1"/>
  <c r="G17" i="1"/>
  <c r="G30" i="1"/>
  <c r="S22" i="1" s="1"/>
  <c r="G29" i="1"/>
  <c r="S21" i="1" s="1"/>
  <c r="G28" i="1"/>
  <c r="S19" i="1" s="1"/>
  <c r="G27" i="1"/>
  <c r="S18" i="1" s="1"/>
  <c r="G26" i="1"/>
  <c r="S17" i="1" s="1"/>
  <c r="G25" i="1"/>
  <c r="S16" i="1" s="1"/>
  <c r="G24" i="1"/>
  <c r="S15" i="1" s="1"/>
  <c r="G23" i="1"/>
  <c r="S14" i="1" s="1"/>
  <c r="G22" i="1"/>
  <c r="S13" i="1" s="1"/>
  <c r="G18" i="1"/>
  <c r="G15" i="1"/>
  <c r="G14" i="1"/>
  <c r="G13" i="1"/>
  <c r="F16" i="1"/>
  <c r="F19" i="1" s="1"/>
  <c r="I30" i="1"/>
  <c r="I29" i="1"/>
  <c r="I28" i="1"/>
  <c r="I27" i="1"/>
  <c r="I25" i="1"/>
  <c r="I24" i="1"/>
  <c r="I23" i="1"/>
  <c r="I22" i="1"/>
  <c r="M13" i="1"/>
  <c r="M15" i="1" s="1"/>
  <c r="M16" i="1" s="1"/>
  <c r="D8" i="1"/>
  <c r="D8" i="8" s="1"/>
  <c r="I18" i="1"/>
  <c r="I17" i="1"/>
  <c r="I15" i="1"/>
  <c r="I13" i="1"/>
  <c r="E18" i="1"/>
  <c r="E17" i="1"/>
  <c r="E15" i="1"/>
  <c r="E13" i="1"/>
  <c r="D10" i="1"/>
  <c r="D10" i="8" s="1"/>
  <c r="F31" i="1"/>
  <c r="G31" i="1" s="1"/>
  <c r="G28" i="8"/>
  <c r="G25" i="8"/>
  <c r="S23" i="1"/>
  <c r="M35" i="8"/>
  <c r="F37" i="8" s="1"/>
  <c r="D37" i="1"/>
  <c r="D37" i="8" s="1"/>
  <c r="G27" i="8" l="1"/>
  <c r="M22" i="1"/>
  <c r="M22" i="8" s="1"/>
  <c r="I14" i="8"/>
  <c r="I25" i="8"/>
  <c r="D16" i="1"/>
  <c r="D16" i="8" s="1"/>
  <c r="E16" i="8" s="1"/>
  <c r="M25" i="1"/>
  <c r="M25" i="8" s="1"/>
  <c r="E22" i="8"/>
  <c r="E29" i="8"/>
  <c r="G29" i="8"/>
  <c r="G22" i="8"/>
  <c r="G15" i="8"/>
  <c r="G30" i="8"/>
  <c r="E25" i="8"/>
  <c r="G13" i="8"/>
  <c r="E17" i="8"/>
  <c r="E27" i="8"/>
  <c r="E13" i="8"/>
  <c r="G18" i="8"/>
  <c r="G23" i="8"/>
  <c r="G24" i="8"/>
  <c r="E24" i="8"/>
  <c r="G30" i="13"/>
  <c r="G32" i="13" s="1"/>
  <c r="G36" i="13" s="1"/>
  <c r="G37" i="13" s="1"/>
  <c r="G38" i="13" s="1"/>
  <c r="F40" i="13"/>
  <c r="D7" i="14" s="1"/>
  <c r="D12" i="14" s="1"/>
  <c r="D6" i="14"/>
  <c r="I16" i="8"/>
  <c r="G16" i="8"/>
  <c r="F19" i="8"/>
  <c r="F26" i="8" s="1"/>
  <c r="G14" i="8"/>
  <c r="E30" i="8"/>
  <c r="G16" i="1"/>
  <c r="I14" i="1"/>
  <c r="E14" i="1"/>
  <c r="G19" i="1"/>
  <c r="F32" i="1"/>
  <c r="M15" i="8"/>
  <c r="M16" i="8" s="1"/>
  <c r="M19" i="8" s="1"/>
  <c r="F36" i="8" s="1"/>
  <c r="E15" i="8"/>
  <c r="E23" i="8"/>
  <c r="E28" i="8"/>
  <c r="R23" i="1"/>
  <c r="E14" i="8"/>
  <c r="E18" i="8"/>
  <c r="G12" i="16"/>
  <c r="B14" i="16"/>
  <c r="C14" i="16"/>
  <c r="O195" i="16"/>
  <c r="H14" i="13"/>
  <c r="H17" i="13" s="1"/>
  <c r="H30" i="13" s="1"/>
  <c r="H32" i="13" s="1"/>
  <c r="H36" i="13" s="1"/>
  <c r="I14" i="13"/>
  <c r="I17" i="13" s="1"/>
  <c r="I30" i="13" s="1"/>
  <c r="I32" i="13" s="1"/>
  <c r="I36" i="13" s="1"/>
  <c r="J14" i="13"/>
  <c r="J17" i="13" s="1"/>
  <c r="J30" i="13" s="1"/>
  <c r="M19" i="1"/>
  <c r="M24" i="1"/>
  <c r="I16" i="1" l="1"/>
  <c r="E16" i="1"/>
  <c r="D19" i="1"/>
  <c r="I19" i="1" s="1"/>
  <c r="F31" i="8"/>
  <c r="G31" i="8" s="1"/>
  <c r="I26" i="8"/>
  <c r="G26" i="8"/>
  <c r="I19" i="8"/>
  <c r="G19" i="8"/>
  <c r="F41" i="1"/>
  <c r="F35" i="1"/>
  <c r="E19" i="1"/>
  <c r="J32" i="13"/>
  <c r="J36" i="13" s="1"/>
  <c r="J37" i="13" s="1"/>
  <c r="J38" i="13" s="1"/>
  <c r="F5" i="18"/>
  <c r="G40" i="13"/>
  <c r="E7" i="14" s="1"/>
  <c r="E6" i="14"/>
  <c r="B15" i="16"/>
  <c r="C15" i="16"/>
  <c r="O196" i="16"/>
  <c r="I12" i="16"/>
  <c r="F12" i="16"/>
  <c r="H37" i="13"/>
  <c r="H38" i="13" s="1"/>
  <c r="I37" i="13"/>
  <c r="I38" i="13" s="1"/>
  <c r="M24" i="8"/>
  <c r="M27" i="8" s="1"/>
  <c r="M29" i="8" s="1"/>
  <c r="M27" i="1"/>
  <c r="M29" i="1" s="1"/>
  <c r="F36" i="1"/>
  <c r="D36" i="1"/>
  <c r="D19" i="8" l="1"/>
  <c r="E19" i="8" s="1"/>
  <c r="D26" i="1"/>
  <c r="D31" i="1" s="1"/>
  <c r="I31" i="8"/>
  <c r="F32" i="8"/>
  <c r="F41" i="8" s="1"/>
  <c r="H40" i="13"/>
  <c r="F7" i="14" s="1"/>
  <c r="F12" i="14" s="1"/>
  <c r="F6" i="14"/>
  <c r="J40" i="13"/>
  <c r="H7" i="14" s="1"/>
  <c r="H12" i="14" s="1"/>
  <c r="H6" i="14"/>
  <c r="G5" i="18"/>
  <c r="G6" i="18" s="1"/>
  <c r="H5" i="18"/>
  <c r="H6" i="18" s="1"/>
  <c r="K5" i="18"/>
  <c r="K6" i="18" s="1"/>
  <c r="I5" i="18"/>
  <c r="I6" i="18" s="1"/>
  <c r="J5" i="18"/>
  <c r="J6" i="18" s="1"/>
  <c r="L5" i="18"/>
  <c r="L6" i="18" s="1"/>
  <c r="F6" i="18"/>
  <c r="E12" i="14"/>
  <c r="I40" i="13"/>
  <c r="G7" i="14" s="1"/>
  <c r="G12" i="14" s="1"/>
  <c r="G6" i="14"/>
  <c r="H12" i="16"/>
  <c r="J12" i="16"/>
  <c r="D13" i="16" s="1"/>
  <c r="B16" i="16"/>
  <c r="C16" i="16"/>
  <c r="O197" i="16"/>
  <c r="D36" i="8"/>
  <c r="F40" i="1"/>
  <c r="F38" i="1"/>
  <c r="I26" i="1" l="1"/>
  <c r="D26" i="8"/>
  <c r="E26" i="8" s="1"/>
  <c r="E26" i="1"/>
  <c r="R17" i="1" s="1"/>
  <c r="F35" i="8"/>
  <c r="F40" i="8" s="1"/>
  <c r="I6" i="14"/>
  <c r="E31" i="1"/>
  <c r="I31" i="1"/>
  <c r="D31" i="8"/>
  <c r="E31" i="8" s="1"/>
  <c r="D32" i="1"/>
  <c r="I7" i="14"/>
  <c r="I7" i="18"/>
  <c r="I9" i="18"/>
  <c r="I8" i="18"/>
  <c r="H7" i="18"/>
  <c r="H8" i="18"/>
  <c r="H9" i="18"/>
  <c r="G7" i="18"/>
  <c r="G9" i="18"/>
  <c r="G8" i="18"/>
  <c r="L7" i="18"/>
  <c r="L9" i="18"/>
  <c r="L8" i="18"/>
  <c r="K7" i="18"/>
  <c r="K8" i="18"/>
  <c r="K9" i="18"/>
  <c r="F8" i="18"/>
  <c r="F7" i="18"/>
  <c r="F9" i="18"/>
  <c r="J7" i="18"/>
  <c r="J8" i="18"/>
  <c r="J9" i="18"/>
  <c r="O198" i="16"/>
  <c r="B17" i="16"/>
  <c r="C17" i="16"/>
  <c r="G13" i="16"/>
  <c r="F39" i="1"/>
  <c r="F42" i="1"/>
  <c r="F43" i="1" s="1"/>
  <c r="F44" i="1" s="1"/>
  <c r="F38" i="8" l="1"/>
  <c r="F42" i="8" s="1"/>
  <c r="F43" i="8" s="1"/>
  <c r="F44" i="8" s="1"/>
  <c r="I11" i="18"/>
  <c r="I12" i="18" s="1"/>
  <c r="I13" i="18" s="1"/>
  <c r="G11" i="18"/>
  <c r="G12" i="18" s="1"/>
  <c r="G14" i="18" s="1"/>
  <c r="G16" i="18" s="1"/>
  <c r="G17" i="18" s="1"/>
  <c r="K11" i="18"/>
  <c r="K12" i="18" s="1"/>
  <c r="K14" i="18" s="1"/>
  <c r="K16" i="18" s="1"/>
  <c r="K17" i="18" s="1"/>
  <c r="L11" i="18"/>
  <c r="L12" i="18" s="1"/>
  <c r="L13" i="18" s="1"/>
  <c r="J11" i="18"/>
  <c r="J12" i="18" s="1"/>
  <c r="H11" i="18"/>
  <c r="H12" i="18" s="1"/>
  <c r="D32" i="8"/>
  <c r="D41" i="1"/>
  <c r="D41" i="8" s="1"/>
  <c r="D35" i="1"/>
  <c r="F11" i="18"/>
  <c r="F12" i="18" s="1"/>
  <c r="J7" i="14"/>
  <c r="I12" i="14"/>
  <c r="J12" i="14" s="1"/>
  <c r="F13" i="16"/>
  <c r="I13" i="16"/>
  <c r="O199" i="16"/>
  <c r="C18" i="16"/>
  <c r="B18" i="16"/>
  <c r="H14" i="18" l="1"/>
  <c r="H16" i="18" s="1"/>
  <c r="H17" i="18" s="1"/>
  <c r="I8" i="14"/>
  <c r="J8" i="14" s="1"/>
  <c r="J9" i="14" s="1"/>
  <c r="I15" i="14" s="1"/>
  <c r="F39" i="8"/>
  <c r="I14" i="18"/>
  <c r="I16" i="18" s="1"/>
  <c r="I17" i="18" s="1"/>
  <c r="L14" i="18"/>
  <c r="L16" i="18" s="1"/>
  <c r="L17" i="18" s="1"/>
  <c r="H13" i="18"/>
  <c r="J14" i="18"/>
  <c r="J16" i="18" s="1"/>
  <c r="J17" i="18" s="1"/>
  <c r="D35" i="8"/>
  <c r="D38" i="1"/>
  <c r="D40" i="1"/>
  <c r="D40" i="8" s="1"/>
  <c r="F13" i="18"/>
  <c r="F14" i="18"/>
  <c r="F16" i="18" s="1"/>
  <c r="F17" i="18" s="1"/>
  <c r="G13" i="18"/>
  <c r="J13" i="18"/>
  <c r="K13" i="18"/>
  <c r="B19" i="16"/>
  <c r="C19" i="16"/>
  <c r="O200" i="16"/>
  <c r="H13" i="16"/>
  <c r="J13" i="16"/>
  <c r="D14" i="16" s="1"/>
  <c r="I9" i="14" l="1"/>
  <c r="J13" i="14"/>
  <c r="J14" i="14" s="1"/>
  <c r="D42" i="1"/>
  <c r="D42" i="8" s="1"/>
  <c r="D38" i="8"/>
  <c r="D39" i="1"/>
  <c r="D39" i="8" s="1"/>
  <c r="G14" i="16"/>
  <c r="B20" i="16"/>
  <c r="C20" i="16"/>
  <c r="O201" i="16"/>
  <c r="D43" i="1" l="1"/>
  <c r="D44" i="1" s="1"/>
  <c r="D44" i="8" s="1"/>
  <c r="C21" i="16"/>
  <c r="B21" i="16"/>
  <c r="O202" i="16"/>
  <c r="F14" i="16"/>
  <c r="I14" i="16"/>
  <c r="D43" i="8" l="1"/>
  <c r="B22" i="16"/>
  <c r="C22" i="16"/>
  <c r="O203" i="16"/>
  <c r="H14" i="16"/>
  <c r="J14" i="16"/>
  <c r="D15" i="16" s="1"/>
  <c r="G15" i="16" l="1"/>
  <c r="B23" i="16"/>
  <c r="B27" i="16" s="1"/>
  <c r="C23" i="16"/>
  <c r="Q212" i="16"/>
  <c r="M205" i="16" l="1"/>
  <c r="F15" i="16"/>
  <c r="I15" i="16"/>
  <c r="B28" i="16"/>
  <c r="D27" i="16"/>
  <c r="M206" i="16" l="1"/>
  <c r="N205" i="16"/>
  <c r="I27" i="16" s="1"/>
  <c r="G27" i="16" s="1"/>
  <c r="H27" i="16" s="1"/>
  <c r="B29" i="16"/>
  <c r="D28" i="16"/>
  <c r="H15" i="16"/>
  <c r="J15" i="16"/>
  <c r="D16" i="16" s="1"/>
  <c r="C28" i="16" l="1"/>
  <c r="M207" i="16"/>
  <c r="N206" i="16"/>
  <c r="I28" i="16" s="1"/>
  <c r="B30" i="16"/>
  <c r="D29" i="16"/>
  <c r="G16" i="16"/>
  <c r="E28" i="16" l="1"/>
  <c r="G28" i="16" s="1"/>
  <c r="C29" i="16"/>
  <c r="M208" i="16"/>
  <c r="N207" i="16"/>
  <c r="I29" i="16" s="1"/>
  <c r="C30" i="16" s="1"/>
  <c r="B31" i="16"/>
  <c r="D30" i="16"/>
  <c r="F16" i="16"/>
  <c r="I16" i="16"/>
  <c r="F28" i="16" l="1"/>
  <c r="H28" i="16" s="1"/>
  <c r="N208" i="16"/>
  <c r="I30" i="16" s="1"/>
  <c r="C31" i="16" s="1"/>
  <c r="M209" i="16"/>
  <c r="E29" i="16"/>
  <c r="G29" i="16" s="1"/>
  <c r="H16" i="16"/>
  <c r="J16" i="16"/>
  <c r="D17" i="16" s="1"/>
  <c r="B32" i="16"/>
  <c r="D31" i="16" l="1"/>
  <c r="E30" i="16"/>
  <c r="F30" i="16" s="1"/>
  <c r="H30" i="16" s="1"/>
  <c r="F29" i="16"/>
  <c r="H29" i="16" s="1"/>
  <c r="M210" i="16"/>
  <c r="N209" i="16"/>
  <c r="I31" i="16" s="1"/>
  <c r="C32" i="16" s="1"/>
  <c r="B33" i="16"/>
  <c r="G17" i="16"/>
  <c r="G30" i="16" l="1"/>
  <c r="E31" i="16"/>
  <c r="G31" i="16" s="1"/>
  <c r="D32" i="16"/>
  <c r="M211" i="16"/>
  <c r="N210" i="16"/>
  <c r="I32" i="16" s="1"/>
  <c r="E32" i="16" s="1"/>
  <c r="F32" i="16" s="1"/>
  <c r="B34" i="16"/>
  <c r="D33" i="16"/>
  <c r="F17" i="16"/>
  <c r="I17" i="16"/>
  <c r="F31" i="16" l="1"/>
  <c r="H31" i="16" s="1"/>
  <c r="H32" i="16" s="1"/>
  <c r="C33" i="16"/>
  <c r="M212" i="16"/>
  <c r="N211" i="16"/>
  <c r="I33" i="16" s="1"/>
  <c r="B35" i="16"/>
  <c r="D34" i="16"/>
  <c r="H17" i="16"/>
  <c r="J17" i="16"/>
  <c r="D18" i="16" s="1"/>
  <c r="G32" i="16"/>
  <c r="E33" i="16" l="1"/>
  <c r="F33" i="16" s="1"/>
  <c r="H33" i="16" s="1"/>
  <c r="C34" i="16"/>
  <c r="M213" i="16"/>
  <c r="N212" i="16"/>
  <c r="I34" i="16" s="1"/>
  <c r="C35" i="16" s="1"/>
  <c r="B36" i="16"/>
  <c r="G18" i="16"/>
  <c r="G33" i="16" l="1"/>
  <c r="E34" i="16"/>
  <c r="F34" i="16" s="1"/>
  <c r="H34" i="16" s="1"/>
  <c r="N213" i="16"/>
  <c r="I35" i="16" s="1"/>
  <c r="E35" i="16" s="1"/>
  <c r="M214" i="16"/>
  <c r="D35" i="16"/>
  <c r="F18" i="16"/>
  <c r="I18" i="16"/>
  <c r="B37" i="16"/>
  <c r="D36" i="16" l="1"/>
  <c r="G34" i="16"/>
  <c r="G35" i="16" s="1"/>
  <c r="F35" i="16"/>
  <c r="H35" i="16" s="1"/>
  <c r="C36" i="16"/>
  <c r="N214" i="16"/>
  <c r="I36" i="16" s="1"/>
  <c r="M215" i="16"/>
  <c r="H18" i="16"/>
  <c r="J18" i="16"/>
  <c r="D19" i="16" s="1"/>
  <c r="B38" i="16"/>
  <c r="D37" i="16" l="1"/>
  <c r="E36" i="16"/>
  <c r="G36" i="16" s="1"/>
  <c r="C37" i="16"/>
  <c r="M216" i="16"/>
  <c r="N215" i="16"/>
  <c r="I37" i="16" s="1"/>
  <c r="C38" i="16" s="1"/>
  <c r="B39" i="16"/>
  <c r="D38" i="16"/>
  <c r="G19" i="16"/>
  <c r="F36" i="16" l="1"/>
  <c r="H36" i="16" s="1"/>
  <c r="E37" i="16"/>
  <c r="F37" i="16" s="1"/>
  <c r="H37" i="16" s="1"/>
  <c r="M217" i="16"/>
  <c r="N216" i="16"/>
  <c r="I38" i="16" s="1"/>
  <c r="C39" i="16" s="1"/>
  <c r="F19" i="16"/>
  <c r="I19" i="16"/>
  <c r="B40" i="16"/>
  <c r="D39" i="16"/>
  <c r="E38" i="16" l="1"/>
  <c r="F38" i="16" s="1"/>
  <c r="H38" i="16" s="1"/>
  <c r="M218" i="16"/>
  <c r="N217" i="16"/>
  <c r="I39" i="16" s="1"/>
  <c r="C40" i="16" s="1"/>
  <c r="G37" i="16"/>
  <c r="H19" i="16"/>
  <c r="J19" i="16"/>
  <c r="B41" i="16"/>
  <c r="D40" i="16"/>
  <c r="D20" i="16" l="1"/>
  <c r="G20" i="16" s="1"/>
  <c r="E39" i="16"/>
  <c r="F39" i="16" s="1"/>
  <c r="H39" i="16" s="1"/>
  <c r="N218" i="16"/>
  <c r="I40" i="16" s="1"/>
  <c r="C41" i="16" s="1"/>
  <c r="M219" i="16"/>
  <c r="G38" i="16"/>
  <c r="G39" i="16" s="1"/>
  <c r="B42" i="16"/>
  <c r="D41" i="16" l="1"/>
  <c r="E40" i="16"/>
  <c r="G40" i="16" s="1"/>
  <c r="M220" i="16"/>
  <c r="N219" i="16"/>
  <c r="I41" i="16" s="1"/>
  <c r="C42" i="16" s="1"/>
  <c r="F20" i="16"/>
  <c r="I20" i="16"/>
  <c r="B43" i="16"/>
  <c r="F40" i="16" l="1"/>
  <c r="H40" i="16" s="1"/>
  <c r="D42" i="16"/>
  <c r="E41" i="16"/>
  <c r="F41" i="16" s="1"/>
  <c r="N220" i="16"/>
  <c r="I42" i="16" s="1"/>
  <c r="E42" i="16" s="1"/>
  <c r="M221" i="16"/>
  <c r="B44" i="16"/>
  <c r="D43" i="16"/>
  <c r="H20" i="16"/>
  <c r="J20" i="16"/>
  <c r="D21" i="16" s="1"/>
  <c r="C43" i="16" l="1"/>
  <c r="H41" i="16"/>
  <c r="G41" i="16"/>
  <c r="F42" i="16"/>
  <c r="N221" i="16"/>
  <c r="I43" i="16" s="1"/>
  <c r="C44" i="16" s="1"/>
  <c r="M222" i="16"/>
  <c r="G21" i="16"/>
  <c r="G42" i="16"/>
  <c r="B45" i="16"/>
  <c r="D44" i="16"/>
  <c r="H42" i="16" l="1"/>
  <c r="E43" i="16"/>
  <c r="F43" i="16" s="1"/>
  <c r="H43" i="16" s="1"/>
  <c r="N222" i="16"/>
  <c r="I44" i="16" s="1"/>
  <c r="C45" i="16" s="1"/>
  <c r="M223" i="16"/>
  <c r="B46" i="16"/>
  <c r="D45" i="16"/>
  <c r="F21" i="16"/>
  <c r="I21" i="16"/>
  <c r="E44" i="16" l="1"/>
  <c r="G43" i="16"/>
  <c r="M224" i="16"/>
  <c r="N223" i="16"/>
  <c r="I45" i="16" s="1"/>
  <c r="E45" i="16" s="1"/>
  <c r="F45" i="16" s="1"/>
  <c r="B47" i="16"/>
  <c r="D46" i="16"/>
  <c r="H21" i="16"/>
  <c r="J21" i="16"/>
  <c r="D22" i="16" s="1"/>
  <c r="G44" i="16" l="1"/>
  <c r="G45" i="16" s="1"/>
  <c r="C46" i="16"/>
  <c r="F44" i="16"/>
  <c r="H44" i="16" s="1"/>
  <c r="H45" i="16" s="1"/>
  <c r="N224" i="16"/>
  <c r="I46" i="16" s="1"/>
  <c r="M225" i="16"/>
  <c r="B48" i="16"/>
  <c r="D47" i="16"/>
  <c r="G22" i="16"/>
  <c r="E46" i="16" l="1"/>
  <c r="F46" i="16" s="1"/>
  <c r="H46" i="16" s="1"/>
  <c r="C47" i="16"/>
  <c r="M226" i="16"/>
  <c r="N225" i="16"/>
  <c r="I47" i="16" s="1"/>
  <c r="B49" i="16"/>
  <c r="D48" i="16"/>
  <c r="F22" i="16"/>
  <c r="I22" i="16"/>
  <c r="G46" i="16" l="1"/>
  <c r="E47" i="16"/>
  <c r="F47" i="16" s="1"/>
  <c r="H47" i="16" s="1"/>
  <c r="C48" i="16"/>
  <c r="M227" i="16"/>
  <c r="N226" i="16"/>
  <c r="I48" i="16" s="1"/>
  <c r="B50" i="16"/>
  <c r="D49" i="16"/>
  <c r="H22" i="16"/>
  <c r="J22" i="16"/>
  <c r="D23" i="16" s="1"/>
  <c r="E48" i="16" l="1"/>
  <c r="G47" i="16"/>
  <c r="G48" i="16" s="1"/>
  <c r="C49" i="16"/>
  <c r="M228" i="16"/>
  <c r="N227" i="16"/>
  <c r="I49" i="16" s="1"/>
  <c r="B51" i="16"/>
  <c r="D50" i="16"/>
  <c r="G23" i="16"/>
  <c r="F48" i="16"/>
  <c r="H48" i="16" s="1"/>
  <c r="E49" i="16" l="1"/>
  <c r="F49" i="16" s="1"/>
  <c r="H49" i="16" s="1"/>
  <c r="C50" i="16"/>
  <c r="N228" i="16"/>
  <c r="I50" i="16" s="1"/>
  <c r="C51" i="16" s="1"/>
  <c r="M229" i="16"/>
  <c r="F23" i="16"/>
  <c r="I23" i="16"/>
  <c r="J6" i="16" s="1"/>
  <c r="B52" i="16"/>
  <c r="G49" i="16" l="1"/>
  <c r="E50" i="16"/>
  <c r="F50" i="16" s="1"/>
  <c r="H50" i="16" s="1"/>
  <c r="D51" i="16"/>
  <c r="N229" i="16"/>
  <c r="I51" i="16" s="1"/>
  <c r="C52" i="16" s="1"/>
  <c r="M230" i="16"/>
  <c r="B53" i="16"/>
  <c r="H23" i="16"/>
  <c r="J23" i="16"/>
  <c r="C27" i="16" s="1"/>
  <c r="E27" i="16" s="1"/>
  <c r="F27" i="16" s="1"/>
  <c r="E51" i="16" l="1"/>
  <c r="F51" i="16" s="1"/>
  <c r="H51" i="16" s="1"/>
  <c r="G50" i="16"/>
  <c r="D52" i="16"/>
  <c r="M231" i="16"/>
  <c r="N230" i="16"/>
  <c r="I52" i="16" s="1"/>
  <c r="E52" i="16" s="1"/>
  <c r="D53" i="16"/>
  <c r="B54" i="16"/>
  <c r="G51" i="16" l="1"/>
  <c r="G52" i="16" s="1"/>
  <c r="C53" i="16"/>
  <c r="M232" i="16"/>
  <c r="N231" i="16"/>
  <c r="I53" i="16" s="1"/>
  <c r="F52" i="16"/>
  <c r="H52" i="16" s="1"/>
  <c r="B55" i="16"/>
  <c r="E53" i="16" l="1"/>
  <c r="F53" i="16" s="1"/>
  <c r="H53" i="16" s="1"/>
  <c r="G53" i="16"/>
  <c r="D54" i="16"/>
  <c r="C54" i="16"/>
  <c r="N232" i="16"/>
  <c r="I54" i="16" s="1"/>
  <c r="M233" i="16"/>
  <c r="D55" i="16"/>
  <c r="B56" i="16"/>
  <c r="E54" i="16" l="1"/>
  <c r="F54" i="16" s="1"/>
  <c r="H54" i="16" s="1"/>
  <c r="C55" i="16"/>
  <c r="M234" i="16"/>
  <c r="N234" i="16" s="1"/>
  <c r="N233" i="16"/>
  <c r="I55" i="16" s="1"/>
  <c r="C56" i="16" s="1"/>
  <c r="I56" i="16"/>
  <c r="D56" i="16"/>
  <c r="G54" i="16" l="1"/>
  <c r="E55" i="16"/>
  <c r="E56" i="16"/>
  <c r="G55" i="16" l="1"/>
  <c r="F55" i="16"/>
  <c r="H55" i="16" s="1"/>
  <c r="G56" i="16"/>
  <c r="F56" i="16"/>
  <c r="H56" i="16" l="1"/>
  <c r="J7" i="16" s="1"/>
  <c r="J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Goff</author>
    <author>Barry &amp; Edwina Koepsell</author>
    <author>Don</author>
    <author>don</author>
  </authors>
  <commentList>
    <comment ref="B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This is based on 100% of the units being full at the current rental rates that the seller is getting.</t>
        </r>
      </text>
    </comment>
    <comment ref="B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ROT 1-3%</t>
        </r>
        <r>
          <rPr>
            <sz val="9"/>
            <color indexed="81"/>
            <rFont val="Tahoma"/>
            <family val="2"/>
          </rPr>
          <t xml:space="preserve"> This cell is for money that is not collected. Non-Payment of Rent, Bad Debt, Etc </t>
        </r>
      </text>
    </comment>
    <comment ref="K1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30 Years is ROT for conventional Financing. You need to plug in 250 yrs for amortization if you want to calculate annual debt serviced assuming an interest only loan.</t>
        </r>
      </text>
    </comment>
    <comment ref="E23" authorId="1" shapeId="0" xr:uid="{00000000-0006-0000-0200-000004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$250/Door</t>
        </r>
      </text>
    </comment>
    <comment ref="G23" authorId="1" shapeId="0" xr:uid="{00000000-0006-0000-0200-000005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$250/Door</t>
        </r>
      </text>
    </comment>
    <comment ref="E24" authorId="1" shapeId="0" xr:uid="{00000000-0006-0000-0200-000006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$300-600/Door</t>
        </r>
      </text>
    </comment>
    <comment ref="G24" authorId="1" shapeId="0" xr:uid="{00000000-0006-0000-0200-000007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$300-600/Door</t>
        </r>
      </text>
    </comment>
    <comment ref="E25" authorId="1" shapeId="0" xr:uid="{00000000-0006-0000-0200-000008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$100-$250/Door</t>
        </r>
      </text>
    </comment>
    <comment ref="G25" authorId="1" shapeId="0" xr:uid="{00000000-0006-0000-0200-000009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$100-$250/Door</t>
        </r>
      </text>
    </comment>
    <comment ref="L25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Rule of Thumb 1 - 5%</t>
        </r>
      </text>
    </comment>
    <comment ref="E26" authorId="1" shapeId="0" xr:uid="{00000000-0006-0000-0200-00000B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% of total collected income, Typically 4% for larger properties.</t>
        </r>
      </text>
    </comment>
    <comment ref="G26" authorId="1" shapeId="0" xr:uid="{00000000-0006-0000-0200-00000C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% of total collected income, Typically 4% for larger properties.</t>
        </r>
      </text>
    </comment>
    <comment ref="E27" authorId="1" shapeId="0" xr:uid="{00000000-0006-0000-0200-00000D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$100/Door</t>
        </r>
      </text>
    </comment>
    <comment ref="G27" authorId="1" shapeId="0" xr:uid="{00000000-0006-0000-0200-00000E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$100/Door</t>
        </r>
      </text>
    </comment>
    <comment ref="E28" authorId="1" shapeId="0" xr:uid="{00000000-0006-0000-0200-00000F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Take historical from last year &amp; annualize this years &amp; take the highest value.</t>
        </r>
      </text>
    </comment>
    <comment ref="G28" authorId="1" shapeId="0" xr:uid="{00000000-0006-0000-0200-000010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Take historical from last year &amp; annualize this years &amp; take the highest value.</t>
        </r>
      </text>
    </comment>
    <comment ref="E29" authorId="1" shapeId="0" xr:uid="{00000000-0006-0000-0200-000011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$200-$400/Door</t>
        </r>
      </text>
    </comment>
    <comment ref="G29" authorId="1" shapeId="0" xr:uid="{00000000-0006-0000-0200-000012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$200-$400/Door</t>
        </r>
      </text>
    </comment>
    <comment ref="E30" authorId="1" shapeId="0" xr:uid="{00000000-0006-0000-0200-000013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$700-$1000 average is usually $900/Door</t>
        </r>
      </text>
    </comment>
    <comment ref="G30" authorId="1" shapeId="0" xr:uid="{00000000-0006-0000-0200-000014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$700-$1000 average is usually $900/Door</t>
        </r>
      </text>
    </comment>
    <comment ref="D34" authorId="3" shapeId="0" xr:uid="{00000000-0006-0000-0200-000015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This gets calculated by multiplying Cap-Ex per unit(cell to the right) times the Number of Units</t>
        </r>
      </text>
    </comment>
    <comment ref="E34" authorId="3" shapeId="0" xr:uid="{00000000-0006-0000-0200-000016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 Insert Cap-x requirement per unit ROT: $300 Per Unit</t>
        </r>
      </text>
    </comment>
    <comment ref="K34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You need to plug in 250 yrs for amortization if you want to calculate annual debt serviced assuming an interest only loan.</t>
        </r>
      </text>
    </comment>
    <comment ref="D37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Cell only fills in if you have a 2nd Mortgage.</t>
        </r>
      </text>
    </comment>
    <comment ref="F37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Cell only fills in if you have a 2nd Mortgage.</t>
        </r>
      </text>
    </comment>
    <comment ref="E42" authorId="2" shapeId="0" xr:uid="{00000000-0006-0000-0200-00001A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See How Your Equity Partners Return Changes when you Change your Carv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Goff</author>
    <author>Barry &amp; Edwina Koepsell</author>
    <author>Don</author>
  </authors>
  <commentList>
    <comment ref="B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This is based on 100% of the units being full at the current rental rates that the seller is getting.</t>
        </r>
      </text>
    </comment>
    <comment ref="B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This cell is for money that is not collected. 
Non-Payment of Rent, Bad Debt, Etc</t>
        </r>
      </text>
    </comment>
    <comment ref="K1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You need to plug in 250 yrs for amortization if you want to calculate annual debt serviced assuming an interest only loan.</t>
        </r>
      </text>
    </comment>
    <comment ref="E23" authorId="1" shapeId="0" xr:uid="{00000000-0006-0000-0300-000004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$250/Door</t>
        </r>
      </text>
    </comment>
    <comment ref="G23" authorId="1" shapeId="0" xr:uid="{00000000-0006-0000-0300-000005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$250/Door</t>
        </r>
      </text>
    </comment>
    <comment ref="E24" authorId="1" shapeId="0" xr:uid="{00000000-0006-0000-0300-000006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$300-600/Door</t>
        </r>
      </text>
    </comment>
    <comment ref="G24" authorId="1" shapeId="0" xr:uid="{00000000-0006-0000-0300-000007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$300-600/Door</t>
        </r>
      </text>
    </comment>
    <comment ref="E25" authorId="1" shapeId="0" xr:uid="{00000000-0006-0000-0300-000008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$100-$250/Door</t>
        </r>
      </text>
    </comment>
    <comment ref="G25" authorId="1" shapeId="0" xr:uid="{00000000-0006-0000-0300-000009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$100-$250/Door</t>
        </r>
      </text>
    </comment>
    <comment ref="E26" authorId="1" shapeId="0" xr:uid="{00000000-0006-0000-0300-00000A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% of total collected income, Typically 4% for larger properties.</t>
        </r>
      </text>
    </comment>
    <comment ref="F26" authorId="2" shapeId="0" xr:uid="{00000000-0006-0000-0300-00000B000000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Calculated using Effective Gross income in cell F19</t>
        </r>
      </text>
    </comment>
    <comment ref="G26" authorId="1" shapeId="0" xr:uid="{00000000-0006-0000-0300-00000C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% of total collected income, Typically 4% for larger properties.</t>
        </r>
      </text>
    </comment>
    <comment ref="E27" authorId="1" shapeId="0" xr:uid="{00000000-0006-0000-0300-00000D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$100/Door</t>
        </r>
      </text>
    </comment>
    <comment ref="G27" authorId="1" shapeId="0" xr:uid="{00000000-0006-0000-0300-00000E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$100/Door</t>
        </r>
      </text>
    </comment>
    <comment ref="E28" authorId="1" shapeId="0" xr:uid="{00000000-0006-0000-0300-00000F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Take historical from last year &amp; annualize this years &amp; take the highest value.</t>
        </r>
      </text>
    </comment>
    <comment ref="G28" authorId="1" shapeId="0" xr:uid="{00000000-0006-0000-0300-000010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Take historical from last year &amp; annualize this years &amp; take the highest value.</t>
        </r>
      </text>
    </comment>
    <comment ref="E29" authorId="1" shapeId="0" xr:uid="{00000000-0006-0000-0300-000011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$200-$400/Door</t>
        </r>
      </text>
    </comment>
    <comment ref="G29" authorId="1" shapeId="0" xr:uid="{00000000-0006-0000-0300-000012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$200-$400/Door</t>
        </r>
      </text>
    </comment>
    <comment ref="E30" authorId="1" shapeId="0" xr:uid="{00000000-0006-0000-0300-000013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$700-$1000 average is usually $900/Door</t>
        </r>
      </text>
    </comment>
    <comment ref="G30" authorId="1" shapeId="0" xr:uid="{00000000-0006-0000-0300-000014000000}">
      <text>
        <r>
          <rPr>
            <b/>
            <sz val="11"/>
            <color indexed="81"/>
            <rFont val="Tahoma"/>
            <family val="2"/>
          </rPr>
          <t>RoT: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omic Sans MS"/>
            <family val="4"/>
          </rPr>
          <t>$700-$1000 average is usually $900/Door</t>
        </r>
      </text>
    </comment>
    <comment ref="K34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You need to plug in 250 yrs for amortization if you want to calculate annual debt serviced assuming an interest only loan.</t>
        </r>
      </text>
    </comment>
    <comment ref="F37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Don Goff:</t>
        </r>
        <r>
          <rPr>
            <sz val="9"/>
            <color indexed="81"/>
            <rFont val="Tahoma"/>
            <family val="2"/>
          </rPr>
          <t xml:space="preserve">
Cell only fills in if you have a 2nd Mortgage.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Darisay</author>
  </authors>
  <commentList>
    <comment ref="E7" authorId="0" shapeId="0" xr:uid="{1E85A218-6D7F-40BA-A858-10555C769961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E8" authorId="0" shapeId="0" xr:uid="{3DAE6547-D453-4FFD-8C6E-2168F678511C}">
      <text>
        <r>
          <rPr>
            <b/>
            <sz val="9"/>
            <color indexed="81"/>
            <rFont val="Tahoma"/>
            <family val="2"/>
          </rPr>
          <t>Enter %</t>
        </r>
      </text>
    </comment>
  </commentList>
</comments>
</file>

<file path=xl/sharedStrings.xml><?xml version="1.0" encoding="utf-8"?>
<sst xmlns="http://schemas.openxmlformats.org/spreadsheetml/2006/main" count="357" uniqueCount="233">
  <si>
    <t>Other Income</t>
  </si>
  <si>
    <t>Utility Reimbursement</t>
  </si>
  <si>
    <t>Taxes</t>
  </si>
  <si>
    <t>Insurance</t>
  </si>
  <si>
    <t>Repairs and Maintenance</t>
  </si>
  <si>
    <t>General/ Admin</t>
  </si>
  <si>
    <t>Marketing</t>
  </si>
  <si>
    <t>Utility</t>
  </si>
  <si>
    <t>Contract Services</t>
  </si>
  <si>
    <t>Payroll</t>
  </si>
  <si>
    <t>Capital Expenditures</t>
  </si>
  <si>
    <t>Total Expenses</t>
  </si>
  <si>
    <t>Net Operating Income</t>
  </si>
  <si>
    <t>Cap Rate</t>
  </si>
  <si>
    <t>Number of Units</t>
  </si>
  <si>
    <t>Purchase Price</t>
  </si>
  <si>
    <t>Property Name</t>
  </si>
  <si>
    <t>Down Payment</t>
  </si>
  <si>
    <t>Per Unit</t>
  </si>
  <si>
    <t>Rentable Sq Ft</t>
  </si>
  <si>
    <t>Effective Gross Income</t>
  </si>
  <si>
    <t>Income:</t>
  </si>
  <si>
    <t>Expenses:</t>
  </si>
  <si>
    <t xml:space="preserve">Cash on Cash Return </t>
  </si>
  <si>
    <t xml:space="preserve">Debt Coverage Ratio </t>
  </si>
  <si>
    <t>Price Per Sq Ft</t>
  </si>
  <si>
    <t>Cash Flow Before Taxes</t>
  </si>
  <si>
    <t>Secondary Debt Service</t>
  </si>
  <si>
    <t>Annual Debt Service</t>
  </si>
  <si>
    <t xml:space="preserve">Management </t>
  </si>
  <si>
    <t>% Down</t>
  </si>
  <si>
    <t>Mortgage amount</t>
  </si>
  <si>
    <t xml:space="preserve">Loan Points </t>
  </si>
  <si>
    <t>Loan Point Cost</t>
  </si>
  <si>
    <t>Total Closing Costs</t>
  </si>
  <si>
    <t>Closing Costs - Other</t>
  </si>
  <si>
    <t>Total Acquisition Costs</t>
  </si>
  <si>
    <t>Management %</t>
  </si>
  <si>
    <t>Price Per Unit</t>
  </si>
  <si>
    <t>Total Rental Income</t>
  </si>
  <si>
    <t>Primary Debt Service</t>
  </si>
  <si>
    <t>$250/Door</t>
  </si>
  <si>
    <t>$100-$250/Door</t>
  </si>
  <si>
    <t>$300-600/Door</t>
  </si>
  <si>
    <t>% Of Total collected income Typ. 4% for larger properties</t>
  </si>
  <si>
    <t>$100/Door</t>
  </si>
  <si>
    <t>Take Historical from last year &amp; annualize this years &amp; take the highest value</t>
  </si>
  <si>
    <t>$200-$400/Door</t>
  </si>
  <si>
    <t>$700-$1000 average is usually  $900/Door</t>
  </si>
  <si>
    <t>Property Information</t>
  </si>
  <si>
    <t>Gross Potential (Market)</t>
  </si>
  <si>
    <t>Market Rent Upside</t>
  </si>
  <si>
    <t>Loss to Lease (Upside)</t>
  </si>
  <si>
    <t>Gross Scheduled (Actual)</t>
  </si>
  <si>
    <t>Sellers</t>
  </si>
  <si>
    <t>Equity Partners Cash Flow</t>
  </si>
  <si>
    <t>COC Return Equity Partners</t>
  </si>
  <si>
    <t xml:space="preserve">Interest Rate </t>
  </si>
  <si>
    <t>Mortgage Info</t>
  </si>
  <si>
    <t>Closing/Acquisition Costs</t>
  </si>
  <si>
    <t>%of GSR</t>
  </si>
  <si>
    <t>% of GSR</t>
  </si>
  <si>
    <t>Gross Scheduled Rents @100%</t>
  </si>
  <si>
    <t>AM.Term (250yr if int. only)</t>
  </si>
  <si>
    <t xml:space="preserve">Expenses </t>
  </si>
  <si>
    <t>Sellers Per Unit</t>
  </si>
  <si>
    <t>Physical Vacancy</t>
  </si>
  <si>
    <t>2nd Mortgage Info</t>
  </si>
  <si>
    <t>Date</t>
  </si>
  <si>
    <t>Concessions / Non Payment</t>
  </si>
  <si>
    <t xml:space="preserve">RE Mentor Underwriting Template© </t>
  </si>
  <si>
    <t>1. Please Read Disclaimer Tab Before Using Template</t>
  </si>
  <si>
    <t>Offer Price</t>
  </si>
  <si>
    <t>Strike Price</t>
  </si>
  <si>
    <t>% of List Price</t>
  </si>
  <si>
    <t>Asking Price</t>
  </si>
  <si>
    <t>Price Information</t>
  </si>
  <si>
    <t>N/A</t>
  </si>
  <si>
    <t xml:space="preserve">Closing Costs </t>
  </si>
  <si>
    <t>Expense Color Key</t>
  </si>
  <si>
    <t>Expense is Below ROT</t>
  </si>
  <si>
    <t>Call Local Tax Assessor</t>
  </si>
  <si>
    <t>Ours</t>
  </si>
  <si>
    <t>Notes</t>
  </si>
  <si>
    <t>Acquisition Fee</t>
  </si>
  <si>
    <t>Property Notes</t>
  </si>
  <si>
    <t>3. Red Triangle in a cell means the cell has a comment</t>
  </si>
  <si>
    <t>4. Place mouse over the cell to see the comment</t>
  </si>
  <si>
    <t>Template Instructions</t>
  </si>
  <si>
    <r>
      <t xml:space="preserve">Rules of Thumb (ROT) </t>
    </r>
    <r>
      <rPr>
        <sz val="10"/>
        <rFont val="Arial"/>
        <family val="2"/>
      </rPr>
      <t/>
    </r>
  </si>
  <si>
    <t>Ours Per Unit</t>
  </si>
  <si>
    <t xml:space="preserve">Annual Amortization </t>
  </si>
  <si>
    <t>Expense is Above ROT</t>
  </si>
  <si>
    <t>Rules of Thumb Comparison</t>
  </si>
  <si>
    <t>Expense is Within ROT</t>
  </si>
  <si>
    <t>Our Equity % of CF</t>
  </si>
  <si>
    <t>Year 1</t>
  </si>
  <si>
    <t>Acquistion</t>
  </si>
  <si>
    <t xml:space="preserve"> Y1 % GSR</t>
  </si>
  <si>
    <t>2. Fill in Highlighted Cells</t>
  </si>
  <si>
    <t>2.  Fill in Highlighted Cells</t>
  </si>
  <si>
    <t xml:space="preserve">Pro's </t>
  </si>
  <si>
    <t>Con's</t>
  </si>
  <si>
    <t>NOI After Capital</t>
  </si>
  <si>
    <t>Physical Vacancy %</t>
  </si>
  <si>
    <t>Acquistion Analysis - UT  Rev 12-1</t>
  </si>
  <si>
    <t>Year 1 Projection - UT  Rev 12-1</t>
  </si>
  <si>
    <t>$300/Door</t>
  </si>
  <si>
    <t xml:space="preserve"> </t>
  </si>
  <si>
    <t>4. Input Loss to Lease,  Vacancy Loss, Capital Reserves, and Debt Service as Negative Numbers</t>
  </si>
  <si>
    <t>3.  Fill in projection assumptions as a percentage. If left blank assumption will be 0% increase.</t>
  </si>
  <si>
    <t>2.  Only Fill in Highlighted Cells.</t>
  </si>
  <si>
    <r>
      <t xml:space="preserve">1. Verify that your numbers make sense.  </t>
    </r>
    <r>
      <rPr>
        <b/>
        <sz val="10"/>
        <color rgb="FFDD0806"/>
        <rFont val="Arial"/>
        <family val="2"/>
      </rPr>
      <t>This is only a Tool.</t>
    </r>
  </si>
  <si>
    <t>RETURN</t>
  </si>
  <si>
    <t>Equity Contribution</t>
  </si>
  <si>
    <t>Equity Partners</t>
  </si>
  <si>
    <t>Your Company</t>
  </si>
  <si>
    <t>Total Cash Flow after Debt</t>
  </si>
  <si>
    <t>Debt Service</t>
  </si>
  <si>
    <t xml:space="preserve">Cash Flow After Capital </t>
  </si>
  <si>
    <t>Capital Reserves</t>
  </si>
  <si>
    <t>TOTAL Expenses</t>
  </si>
  <si>
    <t>Contracted Services</t>
  </si>
  <si>
    <t>Management Fee</t>
  </si>
  <si>
    <t>General/Administration</t>
  </si>
  <si>
    <t>Repairs/Maintenance</t>
  </si>
  <si>
    <t>Expenses</t>
  </si>
  <si>
    <t>TOTAL Income</t>
  </si>
  <si>
    <t>Rental Income</t>
  </si>
  <si>
    <t>Vacancy Loss</t>
  </si>
  <si>
    <t xml:space="preserve">Gross Schedule Rents </t>
  </si>
  <si>
    <t>Loss to Lease</t>
  </si>
  <si>
    <t>Gross Potential Rent (Market)</t>
  </si>
  <si>
    <t>Year 5</t>
  </si>
  <si>
    <t>Year 4</t>
  </si>
  <si>
    <t>Year 3</t>
  </si>
  <si>
    <t>Year 2</t>
  </si>
  <si>
    <t>Revenues</t>
  </si>
  <si>
    <t>NOTE:  Input Loss to Lease, , Vacancy Loss, Capital Reserves, and Debt Service as Negative Numbers</t>
  </si>
  <si>
    <t>Rents</t>
  </si>
  <si>
    <t>Projection Assumptions (Years 1-5)</t>
  </si>
  <si>
    <t xml:space="preserve">    Date:</t>
  </si>
  <si>
    <t>Property Name:</t>
  </si>
  <si>
    <t>5 YEAR PRO-FORMA AND BUDGET - Rev 6</t>
  </si>
  <si>
    <t xml:space="preserve">                                     may vary widely, due to many economic and marketplace factors beyond our control.</t>
  </si>
  <si>
    <t xml:space="preserve">            The rates of return displayed on this page are only projections, and are not guarantees of any sort. Actual returns </t>
  </si>
  <si>
    <t xml:space="preserve">                               Note: Depending on the closing, there might be 1-2 months of cash flow returns additional to this. </t>
  </si>
  <si>
    <r>
      <t xml:space="preserve">                * Average </t>
    </r>
    <r>
      <rPr>
        <b/>
        <u/>
        <sz val="11"/>
        <color indexed="8"/>
        <rFont val="Arial"/>
        <family val="2"/>
      </rPr>
      <t xml:space="preserve">annual cash flow and equity gains for </t>
    </r>
    <r>
      <rPr>
        <b/>
        <sz val="11"/>
        <color indexed="8"/>
        <rFont val="Arial"/>
        <family val="2"/>
      </rPr>
      <t xml:space="preserve">Equity Partner, approximately </t>
    </r>
  </si>
  <si>
    <t xml:space="preserve">Total Projected Return on Investment (TROI) = </t>
  </si>
  <si>
    <t xml:space="preserve">Equity Gain Portion paid at Sale of Property = </t>
  </si>
  <si>
    <t>Cash Equity Gain at Exit</t>
  </si>
  <si>
    <t>Cash Flow per Year</t>
  </si>
  <si>
    <t>Annual Cash Flow Projected for $100,000 invested</t>
  </si>
  <si>
    <t>*</t>
  </si>
  <si>
    <t>Total Return on Investment</t>
  </si>
  <si>
    <t>Member Equity</t>
  </si>
  <si>
    <t>Cash on Cash Return%</t>
  </si>
  <si>
    <t>Member net Cash flow</t>
  </si>
  <si>
    <t>Total Return %</t>
  </si>
  <si>
    <t>Return $</t>
  </si>
  <si>
    <t xml:space="preserve">Year 5 </t>
  </si>
  <si>
    <t xml:space="preserve">Year 3 </t>
  </si>
  <si>
    <t xml:space="preserve">Year 2 </t>
  </si>
  <si>
    <t xml:space="preserve">Year I </t>
  </si>
  <si>
    <t>Initial Equity</t>
  </si>
  <si>
    <t xml:space="preserve">          Summary of Projected Member Cash Flow and Returns</t>
  </si>
  <si>
    <t>Closing Costs</t>
  </si>
  <si>
    <t>Sales Expense</t>
  </si>
  <si>
    <t xml:space="preserve">Exit Price at end of 5th year at CAP </t>
  </si>
  <si>
    <t>NOI at the end of 5th year</t>
  </si>
  <si>
    <t xml:space="preserve">    Equity Return At Resale</t>
  </si>
  <si>
    <t>Mos in Last Yr</t>
  </si>
  <si>
    <t>Last Year</t>
  </si>
  <si>
    <t>Years</t>
  </si>
  <si>
    <t>Base Year</t>
  </si>
  <si>
    <t>Months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</si>
  <si>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</si>
  <si>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</si>
  <si>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</si>
  <si>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</si>
  <si>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</si>
  <si>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</si>
  <si>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</si>
  <si>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</si>
  <si>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</si>
  <si>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</si>
  <si>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</si>
  <si>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</si>
  <si>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DO NOT ERASE</t>
  </si>
  <si>
    <t>Ending Balance</t>
  </si>
  <si>
    <t>Cumulative Interest</t>
  </si>
  <si>
    <t>Cumulative Principal</t>
  </si>
  <si>
    <t>Interest</t>
  </si>
  <si>
    <t>Principal</t>
  </si>
  <si>
    <t>Payment</t>
  </si>
  <si>
    <t>Beginning Balance</t>
  </si>
  <si>
    <t>Year</t>
  </si>
  <si>
    <t>Yearly Schedule of Balances and Payments</t>
  </si>
  <si>
    <t xml:space="preserve">Interest </t>
  </si>
  <si>
    <t xml:space="preserve">Principal </t>
  </si>
  <si>
    <t xml:space="preserve">Payment </t>
  </si>
  <si>
    <t>Month</t>
  </si>
  <si>
    <t>Payments in First 12 Months</t>
  </si>
  <si>
    <t>Sum of all payments</t>
  </si>
  <si>
    <t>Base month of loan</t>
  </si>
  <si>
    <t>Interest over term of loan</t>
  </si>
  <si>
    <t>Base year of loan</t>
  </si>
  <si>
    <t>Interest in first calendar year</t>
  </si>
  <si>
    <t>Loan period in years</t>
  </si>
  <si>
    <t>Monthly payments</t>
  </si>
  <si>
    <t>Annual interest rate</t>
  </si>
  <si>
    <t>Annual loan payments</t>
  </si>
  <si>
    <t>Loan principal amount</t>
  </si>
  <si>
    <t>Key Figures</t>
  </si>
  <si>
    <t>Inputs</t>
  </si>
  <si>
    <t>Mortgage Amortization</t>
  </si>
  <si>
    <t>Amortizing PMT</t>
  </si>
  <si>
    <t>Amortizing Periods (years)</t>
  </si>
  <si>
    <t>Rate</t>
  </si>
  <si>
    <t>Current Loan Amount</t>
  </si>
  <si>
    <t>Per Year</t>
  </si>
  <si>
    <t>Investor Net Equity as % of Investment</t>
  </si>
  <si>
    <t>Investor's Share of Equity Growth at</t>
  </si>
  <si>
    <t>Manager's Share of Equity Growth at</t>
  </si>
  <si>
    <t>Equity Creation</t>
  </si>
  <si>
    <t>Owner Equity</t>
  </si>
  <si>
    <t>Loan Principal Year-5</t>
  </si>
  <si>
    <t>Manager's Sale Fee</t>
  </si>
  <si>
    <t>CAP RATE AT RESALE:</t>
  </si>
  <si>
    <t>FV of Loan After 5-years Paydown</t>
  </si>
  <si>
    <t>January</t>
  </si>
  <si>
    <t>Property 3</t>
  </si>
  <si>
    <t>Property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</si>
</sst>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_);[Red]\(0.00\)"/>
    <numFmt numFmtId="168" formatCode="mm/dd/yy"/>
    <numFmt numFmtId="169" formatCode="0_)"/>
    <numFmt numFmtId="170" formatCode="0.000%"/>
    <numFmt numFmtId="171" formatCode="_(&quot;$&quot;* #,##0_);_(&quot;$&quot;* \(#,##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Comic Sans MS"/>
      <family val="4"/>
    </font>
    <font>
      <b/>
      <sz val="18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0.5"/>
      <name val="Tahoma"/>
      <family val="2"/>
    </font>
    <font>
      <b/>
      <sz val="16"/>
      <color theme="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DD0806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1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24"/>
      <name val="Arial"/>
      <family val="2"/>
    </font>
    <font>
      <sz val="24"/>
      <color indexed="60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Georgia"/>
      <family val="1"/>
    </font>
    <font>
      <b/>
      <sz val="12"/>
      <color theme="1"/>
      <name val="Calibri"/>
      <family val="2"/>
      <scheme val="minor"/>
    </font>
    <font>
      <sz val="11"/>
      <color indexed="8"/>
      <name val="Georgia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B050"/>
      <name val="Georgia"/>
      <family val="1"/>
    </font>
    <font>
      <b/>
      <sz val="12"/>
      <color rgb="FF00B05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0806"/>
        <bgColor rgb="FFDD0806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23" fillId="0" borderId="0"/>
    <xf numFmtId="0" fontId="1" fillId="0" borderId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38" fontId="3" fillId="0" borderId="0" applyFont="0" applyBorder="0" applyAlignment="0" applyProtection="0"/>
    <xf numFmtId="0" fontId="3" fillId="0" borderId="0"/>
    <xf numFmtId="43" fontId="33" fillId="0" borderId="0" applyFont="0" applyFill="0" applyBorder="0" applyAlignment="0" applyProtection="0"/>
    <xf numFmtId="0" fontId="3" fillId="0" borderId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0"/>
  </cellStyleXfs>
  <cellXfs count="642">
    <xf numFmtId="0" fontId="0" fillId="0" borderId="0" xfId="0"/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3" fillId="0" borderId="0" xfId="0" applyFont="1"/>
    <xf numFmtId="5" fontId="3" fillId="0" borderId="0" xfId="2" applyNumberFormat="1"/>
    <xf numFmtId="5" fontId="0" fillId="0" borderId="1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5" fontId="0" fillId="0" borderId="5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Border="1"/>
    <xf numFmtId="0" fontId="11" fillId="0" borderId="0" xfId="0" applyFont="1"/>
    <xf numFmtId="0" fontId="2" fillId="5" borderId="10" xfId="0" applyFont="1" applyFill="1" applyBorder="1"/>
    <xf numFmtId="0" fontId="2" fillId="5" borderId="11" xfId="0" applyFont="1" applyFill="1" applyBorder="1"/>
    <xf numFmtId="0" fontId="2" fillId="0" borderId="0" xfId="0" applyFont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164" fontId="15" fillId="3" borderId="9" xfId="0" applyNumberFormat="1" applyFont="1" applyFill="1" applyBorder="1" applyAlignment="1" applyProtection="1">
      <alignment horizontal="center"/>
      <protection locked="0"/>
    </xf>
    <xf numFmtId="164" fontId="15" fillId="3" borderId="5" xfId="0" applyNumberFormat="1" applyFont="1" applyFill="1" applyBorder="1" applyAlignment="1" applyProtection="1">
      <alignment horizontal="center"/>
      <protection locked="0"/>
    </xf>
    <xf numFmtId="3" fontId="15" fillId="3" borderId="5" xfId="0" applyNumberFormat="1" applyFont="1" applyFill="1" applyBorder="1" applyAlignment="1" applyProtection="1">
      <alignment horizontal="center"/>
      <protection locked="0"/>
    </xf>
    <xf numFmtId="164" fontId="15" fillId="3" borderId="16" xfId="0" applyNumberFormat="1" applyFont="1" applyFill="1" applyBorder="1" applyAlignment="1" applyProtection="1">
      <alignment horizontal="center"/>
      <protection locked="0"/>
    </xf>
    <xf numFmtId="164" fontId="15" fillId="3" borderId="17" xfId="0" applyNumberFormat="1" applyFont="1" applyFill="1" applyBorder="1" applyAlignment="1" applyProtection="1">
      <alignment horizontal="center"/>
      <protection locked="0"/>
    </xf>
    <xf numFmtId="164" fontId="15" fillId="4" borderId="17" xfId="0" applyNumberFormat="1" applyFont="1" applyFill="1" applyBorder="1" applyAlignment="1" applyProtection="1">
      <alignment horizontal="center"/>
      <protection locked="0"/>
    </xf>
    <xf numFmtId="164" fontId="15" fillId="4" borderId="16" xfId="0" applyNumberFormat="1" applyFont="1" applyFill="1" applyBorder="1" applyAlignment="1" applyProtection="1">
      <alignment horizontal="center"/>
      <protection locked="0"/>
    </xf>
    <xf numFmtId="9" fontId="15" fillId="3" borderId="18" xfId="0" applyNumberFormat="1" applyFont="1" applyFill="1" applyBorder="1" applyAlignment="1" applyProtection="1">
      <alignment horizontal="center"/>
      <protection locked="0"/>
    </xf>
    <xf numFmtId="164" fontId="15" fillId="3" borderId="19" xfId="0" applyNumberFormat="1" applyFont="1" applyFill="1" applyBorder="1" applyAlignment="1" applyProtection="1">
      <alignment horizontal="center"/>
      <protection locked="0"/>
    </xf>
    <xf numFmtId="164" fontId="15" fillId="4" borderId="19" xfId="0" applyNumberFormat="1" applyFont="1" applyFill="1" applyBorder="1" applyAlignment="1" applyProtection="1">
      <alignment horizontal="center"/>
      <protection locked="0"/>
    </xf>
    <xf numFmtId="10" fontId="15" fillId="3" borderId="18" xfId="0" applyNumberFormat="1" applyFont="1" applyFill="1" applyBorder="1" applyAlignment="1" applyProtection="1">
      <alignment horizontal="center"/>
      <protection locked="0"/>
    </xf>
    <xf numFmtId="1" fontId="15" fillId="3" borderId="18" xfId="0" applyNumberFormat="1" applyFont="1" applyFill="1" applyBorder="1" applyAlignment="1" applyProtection="1">
      <alignment horizontal="center"/>
      <protection locked="0"/>
    </xf>
    <xf numFmtId="166" fontId="12" fillId="3" borderId="15" xfId="0" applyNumberFormat="1" applyFont="1" applyFill="1" applyBorder="1" applyAlignment="1" applyProtection="1">
      <alignment horizontal="center"/>
      <protection locked="0"/>
    </xf>
    <xf numFmtId="166" fontId="15" fillId="3" borderId="18" xfId="0" applyNumberFormat="1" applyFont="1" applyFill="1" applyBorder="1" applyAlignment="1" applyProtection="1">
      <alignment horizontal="center"/>
      <protection locked="0"/>
    </xf>
    <xf numFmtId="164" fontId="15" fillId="3" borderId="20" xfId="0" applyNumberFormat="1" applyFont="1" applyFill="1" applyBorder="1" applyAlignment="1" applyProtection="1">
      <alignment horizontal="center"/>
      <protection locked="0"/>
    </xf>
    <xf numFmtId="164" fontId="15" fillId="3" borderId="18" xfId="0" applyNumberFormat="1" applyFont="1" applyFill="1" applyBorder="1" applyAlignment="1" applyProtection="1">
      <alignment horizontal="center"/>
      <protection locked="0"/>
    </xf>
    <xf numFmtId="164" fontId="15" fillId="7" borderId="15" xfId="0" applyNumberFormat="1" applyFont="1" applyFill="1" applyBorder="1" applyAlignment="1" applyProtection="1">
      <alignment horizontal="center"/>
      <protection locked="0"/>
    </xf>
    <xf numFmtId="9" fontId="15" fillId="3" borderId="21" xfId="0" applyNumberFormat="1" applyFont="1" applyFill="1" applyBorder="1" applyAlignment="1" applyProtection="1">
      <alignment horizontal="center"/>
      <protection locked="0"/>
    </xf>
    <xf numFmtId="0" fontId="15" fillId="8" borderId="22" xfId="0" applyFont="1" applyFill="1" applyBorder="1"/>
    <xf numFmtId="0" fontId="15" fillId="9" borderId="15" xfId="0" applyFont="1" applyFill="1" applyBorder="1"/>
    <xf numFmtId="0" fontId="15" fillId="10" borderId="15" xfId="0" applyFont="1" applyFill="1" applyBorder="1"/>
    <xf numFmtId="164" fontId="15" fillId="11" borderId="17" xfId="0" applyNumberFormat="1" applyFont="1" applyFill="1" applyBorder="1" applyAlignment="1" applyProtection="1">
      <alignment horizontal="center"/>
      <protection locked="0"/>
    </xf>
    <xf numFmtId="164" fontId="15" fillId="11" borderId="16" xfId="0" applyNumberFormat="1" applyFont="1" applyFill="1" applyBorder="1" applyAlignment="1" applyProtection="1">
      <alignment horizontal="center"/>
      <protection locked="0"/>
    </xf>
    <xf numFmtId="164" fontId="15" fillId="11" borderId="19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7" fontId="15" fillId="0" borderId="23" xfId="0" applyNumberFormat="1" applyFont="1" applyBorder="1" applyAlignment="1">
      <alignment horizontal="center"/>
    </xf>
    <xf numFmtId="9" fontId="15" fillId="0" borderId="18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9" fontId="15" fillId="0" borderId="24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38" fontId="15" fillId="0" borderId="4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9" fontId="15" fillId="0" borderId="29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5" borderId="30" xfId="0" applyFont="1" applyFill="1" applyBorder="1"/>
    <xf numFmtId="0" fontId="2" fillId="5" borderId="21" xfId="0" applyFont="1" applyFill="1" applyBorder="1"/>
    <xf numFmtId="0" fontId="2" fillId="5" borderId="31" xfId="0" applyFont="1" applyFill="1" applyBorder="1"/>
    <xf numFmtId="0" fontId="9" fillId="2" borderId="3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33" xfId="0" applyFont="1" applyBorder="1"/>
    <xf numFmtId="0" fontId="12" fillId="0" borderId="32" xfId="0" applyFont="1" applyBorder="1"/>
    <xf numFmtId="0" fontId="12" fillId="0" borderId="0" xfId="0" applyFont="1"/>
    <xf numFmtId="0" fontId="15" fillId="0" borderId="0" xfId="0" applyFont="1"/>
    <xf numFmtId="164" fontId="15" fillId="0" borderId="0" xfId="0" applyNumberFormat="1" applyFont="1"/>
    <xf numFmtId="0" fontId="15" fillId="0" borderId="3" xfId="0" applyFont="1" applyBorder="1"/>
    <xf numFmtId="0" fontId="14" fillId="6" borderId="30" xfId="0" applyFont="1" applyFill="1" applyBorder="1"/>
    <xf numFmtId="0" fontId="14" fillId="6" borderId="21" xfId="0" applyFont="1" applyFill="1" applyBorder="1"/>
    <xf numFmtId="49" fontId="14" fillId="6" borderId="30" xfId="0" applyNumberFormat="1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3" fillId="6" borderId="31" xfId="0" applyFont="1" applyFill="1" applyBorder="1"/>
    <xf numFmtId="0" fontId="12" fillId="0" borderId="0" xfId="0" applyFont="1" applyAlignment="1">
      <alignment horizontal="center"/>
    </xf>
    <xf numFmtId="166" fontId="15" fillId="0" borderId="0" xfId="0" applyNumberFormat="1" applyFont="1"/>
    <xf numFmtId="0" fontId="12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4" fontId="15" fillId="0" borderId="24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5" fontId="15" fillId="0" borderId="5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5" fontId="15" fillId="0" borderId="36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166" fontId="15" fillId="0" borderId="37" xfId="0" applyNumberFormat="1" applyFont="1" applyBorder="1" applyAlignment="1">
      <alignment horizontal="center"/>
    </xf>
    <xf numFmtId="6" fontId="12" fillId="0" borderId="17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0" fontId="15" fillId="0" borderId="34" xfId="0" applyFont="1" applyBorder="1"/>
    <xf numFmtId="0" fontId="15" fillId="0" borderId="38" xfId="0" applyFont="1" applyBorder="1"/>
    <xf numFmtId="0" fontId="12" fillId="0" borderId="2" xfId="0" applyFont="1" applyBorder="1" applyAlignment="1">
      <alignment horizontal="left"/>
    </xf>
    <xf numFmtId="0" fontId="12" fillId="0" borderId="39" xfId="0" applyFont="1" applyBorder="1"/>
    <xf numFmtId="0" fontId="15" fillId="0" borderId="29" xfId="0" applyFont="1" applyBorder="1"/>
    <xf numFmtId="38" fontId="15" fillId="0" borderId="40" xfId="0" applyNumberFormat="1" applyFont="1" applyBorder="1" applyAlignment="1">
      <alignment horizontal="center"/>
    </xf>
    <xf numFmtId="6" fontId="12" fillId="0" borderId="39" xfId="0" applyNumberFormat="1" applyFont="1" applyBorder="1" applyAlignment="1">
      <alignment horizontal="center"/>
    </xf>
    <xf numFmtId="166" fontId="15" fillId="0" borderId="40" xfId="0" applyNumberFormat="1" applyFont="1" applyBorder="1" applyAlignment="1">
      <alignment horizontal="center"/>
    </xf>
    <xf numFmtId="0" fontId="12" fillId="0" borderId="41" xfId="0" applyFont="1" applyBorder="1"/>
    <xf numFmtId="0" fontId="15" fillId="0" borderId="42" xfId="0" applyFont="1" applyBorder="1"/>
    <xf numFmtId="164" fontId="15" fillId="0" borderId="43" xfId="0" applyNumberFormat="1" applyFont="1" applyBorder="1" applyAlignment="1">
      <alignment horizontal="center"/>
    </xf>
    <xf numFmtId="0" fontId="15" fillId="0" borderId="32" xfId="0" applyFont="1" applyBorder="1"/>
    <xf numFmtId="164" fontId="15" fillId="0" borderId="32" xfId="0" applyNumberFormat="1" applyFont="1" applyBorder="1"/>
    <xf numFmtId="5" fontId="15" fillId="0" borderId="3" xfId="0" applyNumberFormat="1" applyFont="1" applyBorder="1" applyAlignment="1">
      <alignment horizontal="center"/>
    </xf>
    <xf numFmtId="164" fontId="15" fillId="0" borderId="32" xfId="0" applyNumberFormat="1" applyFont="1" applyBorder="1" applyAlignment="1">
      <alignment horizontal="center"/>
    </xf>
    <xf numFmtId="0" fontId="16" fillId="6" borderId="21" xfId="0" applyFont="1" applyFill="1" applyBorder="1"/>
    <xf numFmtId="5" fontId="15" fillId="0" borderId="4" xfId="0" applyNumberFormat="1" applyFont="1" applyBorder="1" applyAlignment="1">
      <alignment horizontal="center"/>
    </xf>
    <xf numFmtId="0" fontId="15" fillId="0" borderId="16" xfId="0" applyFont="1" applyBorder="1"/>
    <xf numFmtId="164" fontId="15" fillId="0" borderId="5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0" fontId="12" fillId="0" borderId="15" xfId="0" applyFont="1" applyBorder="1"/>
    <xf numFmtId="164" fontId="15" fillId="0" borderId="31" xfId="0" applyNumberFormat="1" applyFont="1" applyBorder="1" applyAlignment="1">
      <alignment horizontal="center"/>
    </xf>
    <xf numFmtId="0" fontId="12" fillId="0" borderId="40" xfId="0" applyFont="1" applyBorder="1"/>
    <xf numFmtId="164" fontId="12" fillId="0" borderId="22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6" fontId="15" fillId="0" borderId="37" xfId="0" applyNumberFormat="1" applyFont="1" applyBorder="1" applyAlignment="1">
      <alignment horizontal="center"/>
    </xf>
    <xf numFmtId="0" fontId="12" fillId="0" borderId="29" xfId="0" applyFont="1" applyBorder="1"/>
    <xf numFmtId="5" fontId="15" fillId="0" borderId="40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5" fillId="0" borderId="45" xfId="0" applyFont="1" applyBorder="1"/>
    <xf numFmtId="6" fontId="15" fillId="0" borderId="46" xfId="0" applyNumberFormat="1" applyFont="1" applyBorder="1" applyAlignment="1">
      <alignment horizontal="center"/>
    </xf>
    <xf numFmtId="0" fontId="12" fillId="0" borderId="47" xfId="0" applyFont="1" applyBorder="1"/>
    <xf numFmtId="0" fontId="12" fillId="0" borderId="48" xfId="0" applyFont="1" applyBorder="1"/>
    <xf numFmtId="6" fontId="15" fillId="0" borderId="49" xfId="0" applyNumberFormat="1" applyFont="1" applyBorder="1" applyAlignment="1">
      <alignment horizontal="center"/>
    </xf>
    <xf numFmtId="6" fontId="15" fillId="0" borderId="5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6" fontId="15" fillId="0" borderId="18" xfId="0" applyNumberFormat="1" applyFont="1" applyBorder="1" applyAlignment="1">
      <alignment horizontal="center"/>
    </xf>
    <xf numFmtId="6" fontId="15" fillId="0" borderId="12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6" fontId="15" fillId="0" borderId="2" xfId="0" applyNumberFormat="1" applyFont="1" applyBorder="1" applyAlignment="1">
      <alignment horizontal="center"/>
    </xf>
    <xf numFmtId="166" fontId="15" fillId="0" borderId="18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5" fillId="0" borderId="40" xfId="0" applyFont="1" applyBorder="1"/>
    <xf numFmtId="9" fontId="12" fillId="0" borderId="0" xfId="0" applyNumberFormat="1" applyFont="1" applyAlignment="1">
      <alignment horizontal="center"/>
    </xf>
    <xf numFmtId="0" fontId="12" fillId="0" borderId="2" xfId="0" applyFont="1" applyBorder="1"/>
    <xf numFmtId="0" fontId="12" fillId="0" borderId="6" xfId="0" applyFont="1" applyBorder="1"/>
    <xf numFmtId="0" fontId="12" fillId="0" borderId="8" xfId="0" applyFont="1" applyBorder="1"/>
    <xf numFmtId="10" fontId="15" fillId="0" borderId="22" xfId="0" applyNumberFormat="1" applyFont="1" applyBorder="1" applyAlignment="1">
      <alignment horizontal="center"/>
    </xf>
    <xf numFmtId="0" fontId="2" fillId="0" borderId="32" xfId="0" applyFont="1" applyBorder="1"/>
    <xf numFmtId="0" fontId="0" fillId="0" borderId="3" xfId="0" applyBorder="1"/>
    <xf numFmtId="0" fontId="15" fillId="6" borderId="30" xfId="0" applyFont="1" applyFill="1" applyBorder="1"/>
    <xf numFmtId="0" fontId="15" fillId="6" borderId="21" xfId="0" applyFont="1" applyFill="1" applyBorder="1"/>
    <xf numFmtId="0" fontId="15" fillId="6" borderId="31" xfId="0" applyFont="1" applyFill="1" applyBorder="1"/>
    <xf numFmtId="0" fontId="15" fillId="0" borderId="33" xfId="0" applyFont="1" applyBorder="1"/>
    <xf numFmtId="164" fontId="15" fillId="0" borderId="24" xfId="0" applyNumberFormat="1" applyFont="1" applyBorder="1"/>
    <xf numFmtId="0" fontId="15" fillId="0" borderId="51" xfId="0" applyFont="1" applyBorder="1"/>
    <xf numFmtId="0" fontId="15" fillId="0" borderId="37" xfId="0" applyFont="1" applyBorder="1"/>
    <xf numFmtId="164" fontId="12" fillId="0" borderId="5" xfId="0" applyNumberFormat="1" applyFont="1" applyBorder="1" applyAlignment="1">
      <alignment horizontal="center"/>
    </xf>
    <xf numFmtId="6" fontId="12" fillId="0" borderId="52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7" fontId="12" fillId="0" borderId="53" xfId="0" applyNumberFormat="1" applyFont="1" applyBorder="1" applyAlignment="1">
      <alignment horizontal="center"/>
    </xf>
    <xf numFmtId="9" fontId="15" fillId="0" borderId="43" xfId="0" applyNumberFormat="1" applyFont="1" applyBorder="1" applyAlignment="1">
      <alignment horizontal="center"/>
    </xf>
    <xf numFmtId="166" fontId="15" fillId="0" borderId="12" xfId="0" applyNumberFormat="1" applyFont="1" applyBorder="1"/>
    <xf numFmtId="0" fontId="15" fillId="0" borderId="35" xfId="0" applyFont="1" applyBorder="1" applyAlignment="1">
      <alignment horizontal="left"/>
    </xf>
    <xf numFmtId="166" fontId="15" fillId="0" borderId="2" xfId="0" applyNumberFormat="1" applyFont="1" applyBorder="1"/>
    <xf numFmtId="166" fontId="15" fillId="0" borderId="37" xfId="0" applyNumberFormat="1" applyFont="1" applyBorder="1"/>
    <xf numFmtId="0" fontId="15" fillId="0" borderId="54" xfId="0" applyFont="1" applyBorder="1"/>
    <xf numFmtId="166" fontId="15" fillId="0" borderId="40" xfId="0" applyNumberFormat="1" applyFont="1" applyBorder="1"/>
    <xf numFmtId="0" fontId="12" fillId="0" borderId="11" xfId="0" applyFont="1" applyBorder="1" applyAlignment="1">
      <alignment horizontal="left"/>
    </xf>
    <xf numFmtId="0" fontId="15" fillId="0" borderId="10" xfId="0" applyFont="1" applyBorder="1"/>
    <xf numFmtId="5" fontId="12" fillId="0" borderId="16" xfId="0" applyNumberFormat="1" applyFont="1" applyBorder="1" applyAlignment="1">
      <alignment horizontal="center"/>
    </xf>
    <xf numFmtId="164" fontId="15" fillId="0" borderId="49" xfId="0" applyNumberFormat="1" applyFont="1" applyBorder="1" applyAlignment="1">
      <alignment horizontal="center"/>
    </xf>
    <xf numFmtId="164" fontId="15" fillId="0" borderId="56" xfId="0" applyNumberFormat="1" applyFont="1" applyBorder="1" applyAlignment="1">
      <alignment horizontal="center"/>
    </xf>
    <xf numFmtId="0" fontId="12" fillId="0" borderId="57" xfId="0" applyFont="1" applyBorder="1"/>
    <xf numFmtId="4" fontId="15" fillId="0" borderId="18" xfId="0" applyNumberFormat="1" applyFont="1" applyBorder="1" applyAlignment="1">
      <alignment horizontal="center"/>
    </xf>
    <xf numFmtId="0" fontId="15" fillId="0" borderId="58" xfId="0" applyFont="1" applyBorder="1"/>
    <xf numFmtId="164" fontId="15" fillId="0" borderId="3" xfId="0" applyNumberFormat="1" applyFont="1" applyBorder="1" applyAlignment="1">
      <alignment horizontal="center"/>
    </xf>
    <xf numFmtId="6" fontId="15" fillId="0" borderId="4" xfId="0" applyNumberFormat="1" applyFont="1" applyBorder="1" applyAlignment="1">
      <alignment horizontal="center"/>
    </xf>
    <xf numFmtId="6" fontId="15" fillId="0" borderId="5" xfId="0" applyNumberFormat="1" applyFont="1" applyBorder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167" fontId="15" fillId="0" borderId="5" xfId="0" applyNumberFormat="1" applyFont="1" applyBorder="1" applyAlignment="1">
      <alignment horizontal="center"/>
    </xf>
    <xf numFmtId="166" fontId="15" fillId="0" borderId="22" xfId="0" applyNumberFormat="1" applyFont="1" applyBorder="1" applyAlignment="1">
      <alignment horizontal="center"/>
    </xf>
    <xf numFmtId="38" fontId="15" fillId="0" borderId="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4" fontId="16" fillId="3" borderId="31" xfId="0" applyNumberFormat="1" applyFont="1" applyFill="1" applyBorder="1" applyProtection="1">
      <protection locked="0"/>
    </xf>
    <xf numFmtId="9" fontId="12" fillId="7" borderId="15" xfId="0" applyNumberFormat="1" applyFont="1" applyFill="1" applyBorder="1" applyAlignment="1" applyProtection="1">
      <alignment horizontal="center"/>
      <protection locked="0"/>
    </xf>
    <xf numFmtId="164" fontId="12" fillId="0" borderId="59" xfId="0" applyNumberFormat="1" applyFont="1" applyBorder="1" applyAlignment="1">
      <alignment horizontal="center"/>
    </xf>
    <xf numFmtId="9" fontId="12" fillId="11" borderId="15" xfId="0" applyNumberFormat="1" applyFont="1" applyFill="1" applyBorder="1" applyAlignment="1" applyProtection="1">
      <alignment horizontal="center"/>
      <protection locked="0"/>
    </xf>
    <xf numFmtId="5" fontId="0" fillId="0" borderId="60" xfId="0" applyNumberFormat="1" applyBorder="1" applyAlignment="1">
      <alignment horizontal="center"/>
    </xf>
    <xf numFmtId="6" fontId="0" fillId="0" borderId="60" xfId="0" applyNumberFormat="1" applyBorder="1" applyAlignment="1">
      <alignment horizontal="center"/>
    </xf>
    <xf numFmtId="0" fontId="0" fillId="0" borderId="61" xfId="0" applyBorder="1"/>
    <xf numFmtId="164" fontId="0" fillId="0" borderId="62" xfId="0" applyNumberFormat="1" applyBorder="1" applyAlignment="1">
      <alignment horizontal="center"/>
    </xf>
    <xf numFmtId="5" fontId="0" fillId="0" borderId="62" xfId="0" applyNumberFormat="1" applyBorder="1" applyAlignment="1">
      <alignment horizontal="center"/>
    </xf>
    <xf numFmtId="0" fontId="3" fillId="0" borderId="62" xfId="0" applyFont="1" applyBorder="1"/>
    <xf numFmtId="0" fontId="23" fillId="0" borderId="0" xfId="3"/>
    <xf numFmtId="9" fontId="22" fillId="0" borderId="0" xfId="3" applyNumberFormat="1" applyFont="1"/>
    <xf numFmtId="166" fontId="22" fillId="0" borderId="0" xfId="3" applyNumberFormat="1" applyFont="1"/>
    <xf numFmtId="6" fontId="22" fillId="0" borderId="0" xfId="3" applyNumberFormat="1" applyFont="1"/>
    <xf numFmtId="164" fontId="22" fillId="0" borderId="0" xfId="3" applyNumberFormat="1" applyFont="1"/>
    <xf numFmtId="0" fontId="24" fillId="0" borderId="0" xfId="3" applyFont="1"/>
    <xf numFmtId="166" fontId="26" fillId="0" borderId="89" xfId="3" applyNumberFormat="1" applyFont="1" applyBorder="1" applyAlignment="1">
      <alignment horizontal="center" vertical="center"/>
    </xf>
    <xf numFmtId="166" fontId="26" fillId="0" borderId="92" xfId="3" applyNumberFormat="1" applyFont="1" applyBorder="1" applyAlignment="1">
      <alignment horizontal="center" vertical="center"/>
    </xf>
    <xf numFmtId="166" fontId="26" fillId="0" borderId="90" xfId="3" applyNumberFormat="1" applyFont="1" applyBorder="1" applyAlignment="1">
      <alignment horizontal="center" vertical="center"/>
    </xf>
    <xf numFmtId="164" fontId="22" fillId="0" borderId="93" xfId="3" applyNumberFormat="1" applyFont="1" applyBorder="1" applyAlignment="1">
      <alignment horizontal="center"/>
    </xf>
    <xf numFmtId="164" fontId="22" fillId="13" borderId="93" xfId="3" applyNumberFormat="1" applyFont="1" applyFill="1" applyBorder="1" applyAlignment="1">
      <alignment horizontal="center"/>
    </xf>
    <xf numFmtId="164" fontId="22" fillId="0" borderId="94" xfId="3" applyNumberFormat="1" applyFont="1" applyBorder="1" applyAlignment="1">
      <alignment horizontal="center"/>
    </xf>
    <xf numFmtId="6" fontId="22" fillId="0" borderId="94" xfId="3" applyNumberFormat="1" applyFont="1" applyBorder="1" applyAlignment="1">
      <alignment horizontal="center"/>
    </xf>
    <xf numFmtId="9" fontId="22" fillId="13" borderId="91" xfId="3" applyNumberFormat="1" applyFont="1" applyFill="1" applyBorder="1" applyAlignment="1">
      <alignment horizontal="center"/>
    </xf>
    <xf numFmtId="0" fontId="22" fillId="0" borderId="0" xfId="3" applyFont="1"/>
    <xf numFmtId="0" fontId="22" fillId="0" borderId="85" xfId="3" applyFont="1" applyBorder="1"/>
    <xf numFmtId="6" fontId="22" fillId="13" borderId="94" xfId="3" applyNumberFormat="1" applyFont="1" applyFill="1" applyBorder="1" applyAlignment="1">
      <alignment horizontal="center"/>
    </xf>
    <xf numFmtId="164" fontId="22" fillId="0" borderId="95" xfId="3" applyNumberFormat="1" applyFont="1" applyBorder="1" applyAlignment="1">
      <alignment horizontal="center"/>
    </xf>
    <xf numFmtId="164" fontId="24" fillId="0" borderId="81" xfId="3" applyNumberFormat="1" applyFont="1" applyBorder="1" applyAlignment="1">
      <alignment horizontal="center"/>
    </xf>
    <xf numFmtId="164" fontId="24" fillId="0" borderId="82" xfId="3" applyNumberFormat="1" applyFont="1" applyBorder="1" applyAlignment="1">
      <alignment horizontal="center"/>
    </xf>
    <xf numFmtId="164" fontId="24" fillId="0" borderId="93" xfId="3" applyNumberFormat="1" applyFont="1" applyBorder="1" applyAlignment="1">
      <alignment horizontal="center"/>
    </xf>
    <xf numFmtId="164" fontId="24" fillId="0" borderId="92" xfId="3" applyNumberFormat="1" applyFont="1" applyBorder="1" applyAlignment="1">
      <alignment horizontal="center"/>
    </xf>
    <xf numFmtId="164" fontId="22" fillId="0" borderId="96" xfId="3" applyNumberFormat="1" applyFont="1" applyBorder="1" applyAlignment="1">
      <alignment horizontal="center"/>
    </xf>
    <xf numFmtId="164" fontId="22" fillId="0" borderId="97" xfId="3" applyNumberFormat="1" applyFont="1" applyBorder="1" applyAlignment="1">
      <alignment horizontal="center"/>
    </xf>
    <xf numFmtId="164" fontId="22" fillId="0" borderId="100" xfId="3" applyNumberFormat="1" applyFont="1" applyBorder="1" applyAlignment="1">
      <alignment horizontal="center"/>
    </xf>
    <xf numFmtId="164" fontId="22" fillId="0" borderId="101" xfId="3" applyNumberFormat="1" applyFont="1" applyBorder="1" applyAlignment="1">
      <alignment horizontal="center"/>
    </xf>
    <xf numFmtId="164" fontId="22" fillId="13" borderId="94" xfId="3" applyNumberFormat="1" applyFont="1" applyFill="1" applyBorder="1" applyAlignment="1">
      <alignment horizontal="center"/>
    </xf>
    <xf numFmtId="9" fontId="22" fillId="0" borderId="104" xfId="3" applyNumberFormat="1" applyFont="1" applyBorder="1"/>
    <xf numFmtId="0" fontId="22" fillId="0" borderId="105" xfId="3" applyFont="1" applyBorder="1"/>
    <xf numFmtId="0" fontId="23" fillId="0" borderId="106" xfId="3" applyBorder="1"/>
    <xf numFmtId="0" fontId="22" fillId="0" borderId="104" xfId="3" applyFont="1" applyBorder="1"/>
    <xf numFmtId="164" fontId="22" fillId="0" borderId="107" xfId="3" applyNumberFormat="1" applyFont="1" applyBorder="1" applyAlignment="1">
      <alignment horizontal="center"/>
    </xf>
    <xf numFmtId="164" fontId="22" fillId="0" borderId="108" xfId="3" applyNumberFormat="1" applyFont="1" applyBorder="1" applyAlignment="1">
      <alignment horizontal="center"/>
    </xf>
    <xf numFmtId="164" fontId="22" fillId="13" borderId="95" xfId="3" applyNumberFormat="1" applyFont="1" applyFill="1" applyBorder="1" applyAlignment="1">
      <alignment horizontal="center"/>
    </xf>
    <xf numFmtId="164" fontId="22" fillId="13" borderId="111" xfId="3" applyNumberFormat="1" applyFont="1" applyFill="1" applyBorder="1" applyAlignment="1">
      <alignment horizontal="center"/>
    </xf>
    <xf numFmtId="164" fontId="22" fillId="13" borderId="112" xfId="3" applyNumberFormat="1" applyFont="1" applyFill="1" applyBorder="1" applyAlignment="1">
      <alignment horizontal="center"/>
    </xf>
    <xf numFmtId="164" fontId="22" fillId="0" borderId="113" xfId="3" applyNumberFormat="1" applyFont="1" applyBorder="1" applyAlignment="1">
      <alignment horizontal="center"/>
    </xf>
    <xf numFmtId="6" fontId="22" fillId="13" borderId="114" xfId="3" applyNumberFormat="1" applyFont="1" applyFill="1" applyBorder="1" applyAlignment="1">
      <alignment horizontal="center"/>
    </xf>
    <xf numFmtId="0" fontId="22" fillId="0" borderId="104" xfId="3" applyFont="1" applyBorder="1" applyAlignment="1">
      <alignment horizontal="left"/>
    </xf>
    <xf numFmtId="0" fontId="22" fillId="0" borderId="105" xfId="3" applyFont="1" applyBorder="1" applyAlignment="1">
      <alignment horizontal="left"/>
    </xf>
    <xf numFmtId="0" fontId="22" fillId="0" borderId="106" xfId="3" applyFont="1" applyBorder="1" applyAlignment="1">
      <alignment horizontal="left"/>
    </xf>
    <xf numFmtId="6" fontId="22" fillId="13" borderId="115" xfId="3" applyNumberFormat="1" applyFont="1" applyFill="1" applyBorder="1" applyAlignment="1">
      <alignment horizontal="center"/>
    </xf>
    <xf numFmtId="164" fontId="22" fillId="0" borderId="116" xfId="3" applyNumberFormat="1" applyFont="1" applyBorder="1" applyAlignment="1">
      <alignment horizontal="center"/>
    </xf>
    <xf numFmtId="164" fontId="22" fillId="0" borderId="117" xfId="3" applyNumberFormat="1" applyFont="1" applyBorder="1" applyAlignment="1">
      <alignment horizontal="center"/>
    </xf>
    <xf numFmtId="164" fontId="22" fillId="13" borderId="118" xfId="3" applyNumberFormat="1" applyFont="1" applyFill="1" applyBorder="1" applyAlignment="1">
      <alignment horizontal="center"/>
    </xf>
    <xf numFmtId="0" fontId="24" fillId="15" borderId="86" xfId="3" applyFont="1" applyFill="1" applyBorder="1" applyAlignment="1">
      <alignment horizontal="center"/>
    </xf>
    <xf numFmtId="0" fontId="24" fillId="15" borderId="92" xfId="3" applyFont="1" applyFill="1" applyBorder="1" applyAlignment="1">
      <alignment horizontal="center"/>
    </xf>
    <xf numFmtId="0" fontId="24" fillId="15" borderId="87" xfId="3" applyFont="1" applyFill="1" applyBorder="1"/>
    <xf numFmtId="0" fontId="24" fillId="15" borderId="88" xfId="3" applyFont="1" applyFill="1" applyBorder="1"/>
    <xf numFmtId="168" fontId="24" fillId="0" borderId="89" xfId="3" applyNumberFormat="1" applyFont="1" applyBorder="1" applyAlignment="1">
      <alignment horizontal="center"/>
    </xf>
    <xf numFmtId="9" fontId="24" fillId="13" borderId="119" xfId="3" applyNumberFormat="1" applyFont="1" applyFill="1" applyBorder="1" applyAlignment="1">
      <alignment horizontal="center"/>
    </xf>
    <xf numFmtId="0" fontId="24" fillId="0" borderId="120" xfId="3" applyFont="1" applyBorder="1" applyAlignment="1">
      <alignment horizontal="center"/>
    </xf>
    <xf numFmtId="9" fontId="27" fillId="0" borderId="90" xfId="3" applyNumberFormat="1" applyFont="1" applyBorder="1" applyAlignment="1">
      <alignment horizontal="center"/>
    </xf>
    <xf numFmtId="168" fontId="24" fillId="13" borderId="86" xfId="3" applyNumberFormat="1" applyFont="1" applyFill="1" applyBorder="1" applyAlignment="1">
      <alignment horizontal="center"/>
    </xf>
    <xf numFmtId="0" fontId="27" fillId="13" borderId="88" xfId="3" applyFont="1" applyFill="1" applyBorder="1" applyAlignment="1">
      <alignment horizontal="center"/>
    </xf>
    <xf numFmtId="0" fontId="29" fillId="0" borderId="0" xfId="4" applyFont="1"/>
    <xf numFmtId="0" fontId="29" fillId="0" borderId="0" xfId="4" applyFont="1" applyAlignment="1">
      <alignment vertical="center"/>
    </xf>
    <xf numFmtId="0" fontId="29" fillId="2" borderId="0" xfId="4" applyFont="1" applyFill="1"/>
    <xf numFmtId="0" fontId="29" fillId="2" borderId="0" xfId="4" applyFont="1" applyFill="1" applyBorder="1"/>
    <xf numFmtId="0" fontId="29" fillId="17" borderId="40" xfId="4" applyFont="1" applyFill="1" applyBorder="1"/>
    <xf numFmtId="0" fontId="29" fillId="17" borderId="29" xfId="4" applyFont="1" applyFill="1" applyBorder="1" applyAlignment="1">
      <alignment vertical="center"/>
    </xf>
    <xf numFmtId="0" fontId="29" fillId="17" borderId="29" xfId="4" applyFont="1" applyFill="1" applyBorder="1"/>
    <xf numFmtId="0" fontId="30" fillId="17" borderId="39" xfId="4" applyFont="1" applyFill="1" applyBorder="1"/>
    <xf numFmtId="0" fontId="29" fillId="17" borderId="3" xfId="4" applyFont="1" applyFill="1" applyBorder="1"/>
    <xf numFmtId="0" fontId="29" fillId="17" borderId="0" xfId="4" applyFont="1" applyFill="1" applyBorder="1" applyAlignment="1">
      <alignment vertical="center"/>
    </xf>
    <xf numFmtId="0" fontId="29" fillId="17" borderId="0" xfId="4" applyFont="1" applyFill="1" applyBorder="1"/>
    <xf numFmtId="0" fontId="30" fillId="17" borderId="32" xfId="4" applyFont="1" applyFill="1" applyBorder="1"/>
    <xf numFmtId="10" fontId="30" fillId="17" borderId="0" xfId="4" applyNumberFormat="1" applyFont="1" applyFill="1" applyBorder="1" applyAlignment="1">
      <alignment vertical="center"/>
    </xf>
    <xf numFmtId="0" fontId="30" fillId="17" borderId="32" xfId="4" applyFont="1" applyFill="1" applyBorder="1" applyAlignment="1">
      <alignment horizontal="left" indent="2"/>
    </xf>
    <xf numFmtId="0" fontId="29" fillId="2" borderId="0" xfId="4" applyFont="1" applyFill="1" applyAlignment="1">
      <alignment vertical="center"/>
    </xf>
    <xf numFmtId="164" fontId="32" fillId="0" borderId="15" xfId="4" applyNumberFormat="1" applyFont="1" applyBorder="1" applyAlignment="1">
      <alignment horizontal="center" vertical="center"/>
    </xf>
    <xf numFmtId="164" fontId="34" fillId="0" borderId="31" xfId="5" applyNumberFormat="1" applyFont="1" applyBorder="1" applyAlignment="1">
      <alignment horizontal="right" vertical="center"/>
    </xf>
    <xf numFmtId="164" fontId="34" fillId="0" borderId="21" xfId="5" applyNumberFormat="1" applyFont="1" applyBorder="1" applyAlignment="1">
      <alignment horizontal="center" vertical="center"/>
    </xf>
    <xf numFmtId="164" fontId="34" fillId="0" borderId="21" xfId="5" applyNumberFormat="1" applyFont="1" applyBorder="1" applyAlignment="1">
      <alignment horizontal="center" vertical="center" wrapText="1"/>
    </xf>
    <xf numFmtId="0" fontId="34" fillId="0" borderId="21" xfId="4" applyFont="1" applyBorder="1" applyAlignment="1">
      <alignment horizontal="center" vertical="center" wrapText="1"/>
    </xf>
    <xf numFmtId="0" fontId="30" fillId="17" borderId="30" xfId="4" applyFont="1" applyFill="1" applyBorder="1" applyAlignment="1">
      <alignment vertical="center" wrapText="1"/>
    </xf>
    <xf numFmtId="164" fontId="34" fillId="17" borderId="15" xfId="4" applyNumberFormat="1" applyFont="1" applyFill="1" applyBorder="1" applyAlignment="1">
      <alignment horizontal="center" vertical="center" wrapText="1"/>
    </xf>
    <xf numFmtId="0" fontId="35" fillId="0" borderId="21" xfId="4" applyFont="1" applyBorder="1" applyAlignment="1">
      <alignment horizontal="center" vertical="center" wrapText="1"/>
    </xf>
    <xf numFmtId="0" fontId="30" fillId="17" borderId="15" xfId="4" applyFont="1" applyFill="1" applyBorder="1" applyAlignment="1">
      <alignment vertical="center" wrapText="1"/>
    </xf>
    <xf numFmtId="164" fontId="34" fillId="0" borderId="121" xfId="5" applyNumberFormat="1" applyFont="1" applyBorder="1" applyAlignment="1">
      <alignment horizontal="center" vertical="center" wrapText="1"/>
    </xf>
    <xf numFmtId="164" fontId="34" fillId="0" borderId="122" xfId="5" applyNumberFormat="1" applyFont="1" applyBorder="1" applyAlignment="1">
      <alignment horizontal="center" vertical="center" wrapText="1"/>
    </xf>
    <xf numFmtId="0" fontId="35" fillId="0" borderId="123" xfId="4" applyFont="1" applyBorder="1" applyAlignment="1">
      <alignment horizontal="center" vertical="center" wrapText="1"/>
    </xf>
    <xf numFmtId="0" fontId="30" fillId="17" borderId="14" xfId="4" applyFont="1" applyFill="1" applyBorder="1" applyAlignment="1">
      <alignment vertical="center" wrapText="1"/>
    </xf>
    <xf numFmtId="0" fontId="29" fillId="0" borderId="0" xfId="4" applyFont="1" applyAlignment="1"/>
    <xf numFmtId="0" fontId="29" fillId="2" borderId="0" xfId="4" applyFont="1" applyFill="1" applyAlignment="1"/>
    <xf numFmtId="10" fontId="34" fillId="2" borderId="13" xfId="4" applyNumberFormat="1" applyFont="1" applyFill="1" applyBorder="1" applyAlignment="1">
      <alignment horizontal="center" wrapText="1"/>
    </xf>
    <xf numFmtId="6" fontId="34" fillId="2" borderId="56" xfId="4" applyNumberFormat="1" applyFont="1" applyFill="1" applyBorder="1" applyAlignment="1">
      <alignment horizontal="center" wrapText="1"/>
    </xf>
    <xf numFmtId="0" fontId="35" fillId="2" borderId="56" xfId="4" applyFont="1" applyFill="1" applyBorder="1" applyAlignment="1">
      <alignment horizontal="center" wrapText="1"/>
    </xf>
    <xf numFmtId="0" fontId="32" fillId="0" borderId="0" xfId="4" applyFont="1" applyAlignment="1"/>
    <xf numFmtId="0" fontId="29" fillId="0" borderId="0" xfId="4" applyFont="1" applyAlignment="1">
      <alignment vertical="top"/>
    </xf>
    <xf numFmtId="10" fontId="34" fillId="18" borderId="3" xfId="4" applyNumberFormat="1" applyFont="1" applyFill="1" applyBorder="1" applyAlignment="1">
      <alignment horizontal="center" wrapText="1"/>
    </xf>
    <xf numFmtId="6" fontId="34" fillId="18" borderId="56" xfId="4" applyNumberFormat="1" applyFont="1" applyFill="1" applyBorder="1" applyAlignment="1">
      <alignment horizontal="center" wrapText="1"/>
    </xf>
    <xf numFmtId="0" fontId="35" fillId="18" borderId="56" xfId="4" applyFont="1" applyFill="1" applyBorder="1" applyAlignment="1">
      <alignment horizontal="center" vertical="top" wrapText="1"/>
    </xf>
    <xf numFmtId="0" fontId="30" fillId="18" borderId="68" xfId="4" applyFont="1" applyFill="1" applyBorder="1" applyAlignment="1">
      <alignment vertical="top" wrapText="1"/>
    </xf>
    <xf numFmtId="10" fontId="34" fillId="17" borderId="15" xfId="4" applyNumberFormat="1" applyFont="1" applyFill="1" applyBorder="1" applyAlignment="1">
      <alignment horizontal="center" wrapText="1"/>
    </xf>
    <xf numFmtId="6" fontId="34" fillId="0" borderId="14" xfId="4" applyNumberFormat="1" applyFont="1" applyBorder="1" applyAlignment="1">
      <alignment horizontal="center" wrapText="1"/>
    </xf>
    <xf numFmtId="0" fontId="35" fillId="0" borderId="14" xfId="4" applyFont="1" applyBorder="1" applyAlignment="1">
      <alignment horizontal="center" vertical="top" wrapText="1"/>
    </xf>
    <xf numFmtId="0" fontId="30" fillId="17" borderId="14" xfId="4" applyFont="1" applyFill="1" applyBorder="1" applyAlignment="1">
      <alignment vertical="top" wrapText="1"/>
    </xf>
    <xf numFmtId="10" fontId="34" fillId="17" borderId="15" xfId="4" applyNumberFormat="1" applyFont="1" applyFill="1" applyBorder="1" applyAlignment="1">
      <alignment horizontal="center" vertical="center" wrapText="1"/>
    </xf>
    <xf numFmtId="6" fontId="34" fillId="0" borderId="22" xfId="5" applyNumberFormat="1" applyFont="1" applyBorder="1" applyAlignment="1"/>
    <xf numFmtId="0" fontId="35" fillId="0" borderId="40" xfId="4" applyFont="1" applyBorder="1" applyAlignment="1">
      <alignment horizontal="center" vertical="top" wrapText="1"/>
    </xf>
    <xf numFmtId="0" fontId="30" fillId="17" borderId="22" xfId="4" applyFont="1" applyFill="1" applyBorder="1" applyAlignment="1">
      <alignment vertical="top" wrapText="1"/>
    </xf>
    <xf numFmtId="10" fontId="34" fillId="0" borderId="15" xfId="4" applyNumberFormat="1" applyFont="1" applyBorder="1" applyAlignment="1">
      <alignment horizontal="right" wrapText="1"/>
    </xf>
    <xf numFmtId="10" fontId="34" fillId="0" borderId="15" xfId="4" applyNumberFormat="1" applyFont="1" applyBorder="1" applyAlignment="1">
      <alignment horizontal="center" wrapText="1"/>
    </xf>
    <xf numFmtId="0" fontId="35" fillId="0" borderId="15" xfId="4" applyFont="1" applyBorder="1" applyAlignment="1">
      <alignment horizontal="center" vertical="top" wrapText="1"/>
    </xf>
    <xf numFmtId="0" fontId="30" fillId="17" borderId="15" xfId="4" applyFont="1" applyFill="1" applyBorder="1" applyAlignment="1">
      <alignment vertical="top" wrapText="1"/>
    </xf>
    <xf numFmtId="0" fontId="35" fillId="0" borderId="14" xfId="4" applyFont="1" applyBorder="1" applyAlignment="1">
      <alignment horizontal="center" vertical="center" wrapText="1"/>
    </xf>
    <xf numFmtId="6" fontId="30" fillId="0" borderId="15" xfId="4" applyNumberFormat="1" applyFont="1" applyFill="1" applyBorder="1" applyAlignment="1"/>
    <xf numFmtId="6" fontId="34" fillId="0" borderId="15" xfId="4" applyNumberFormat="1" applyFont="1" applyBorder="1" applyAlignment="1">
      <alignment horizontal="center"/>
    </xf>
    <xf numFmtId="0" fontId="30" fillId="17" borderId="31" xfId="4" applyFont="1" applyFill="1" applyBorder="1" applyAlignment="1">
      <alignment horizontal="center" vertical="center" wrapText="1"/>
    </xf>
    <xf numFmtId="6" fontId="35" fillId="0" borderId="15" xfId="4" applyNumberFormat="1" applyFont="1" applyBorder="1" applyAlignment="1">
      <alignment horizontal="right" vertical="center"/>
    </xf>
    <xf numFmtId="0" fontId="30" fillId="0" borderId="0" xfId="4" applyFont="1"/>
    <xf numFmtId="0" fontId="32" fillId="0" borderId="0" xfId="4" applyFont="1"/>
    <xf numFmtId="0" fontId="1" fillId="0" borderId="0" xfId="4"/>
    <xf numFmtId="38" fontId="3" fillId="0" borderId="0" xfId="7" applyFont="1"/>
    <xf numFmtId="39" fontId="3" fillId="19" borderId="124" xfId="7" applyNumberFormat="1" applyFont="1" applyFill="1" applyBorder="1" applyAlignment="1" applyProtection="1">
      <alignment horizontal="left" vertical="center"/>
    </xf>
    <xf numFmtId="39" fontId="40" fillId="19" borderId="125" xfId="7" applyNumberFormat="1" applyFont="1" applyFill="1" applyBorder="1" applyAlignment="1" applyProtection="1">
      <alignment horizontal="left" vertical="center"/>
    </xf>
    <xf numFmtId="39" fontId="3" fillId="19" borderId="126" xfId="7" applyNumberFormat="1" applyFont="1" applyFill="1" applyBorder="1" applyAlignment="1" applyProtection="1">
      <alignment horizontal="left" vertical="center"/>
    </xf>
    <xf numFmtId="38" fontId="3" fillId="0" borderId="0" xfId="7" applyFont="1" applyAlignment="1" applyProtection="1">
      <alignment horizontal="left" vertical="center"/>
    </xf>
    <xf numFmtId="39" fontId="3" fillId="19" borderId="127" xfId="7" applyNumberFormat="1" applyFont="1" applyFill="1" applyBorder="1" applyAlignment="1" applyProtection="1">
      <alignment horizontal="left" vertical="center"/>
    </xf>
    <xf numFmtId="39" fontId="40" fillId="19" borderId="0" xfId="7" applyNumberFormat="1" applyFont="1" applyFill="1" applyAlignment="1" applyProtection="1">
      <alignment horizontal="left" vertical="center"/>
    </xf>
    <xf numFmtId="39" fontId="3" fillId="19" borderId="128" xfId="7" applyNumberFormat="1" applyFont="1" applyFill="1" applyBorder="1" applyAlignment="1" applyProtection="1">
      <alignment horizontal="left" vertical="center"/>
    </xf>
    <xf numFmtId="0" fontId="3" fillId="19" borderId="127" xfId="7" applyNumberFormat="1" applyFont="1" applyFill="1" applyBorder="1" applyAlignment="1" applyProtection="1">
      <alignment horizontal="left" vertical="center"/>
    </xf>
    <xf numFmtId="169" fontId="3" fillId="19" borderId="128" xfId="7" applyNumberFormat="1" applyFont="1" applyFill="1" applyBorder="1" applyAlignment="1" applyProtection="1">
      <alignment horizontal="left" vertical="center"/>
    </xf>
    <xf numFmtId="39" fontId="3" fillId="19" borderId="129" xfId="7" applyNumberFormat="1" applyFont="1" applyFill="1" applyBorder="1" applyAlignment="1" applyProtection="1">
      <alignment horizontal="left" vertical="center"/>
    </xf>
    <xf numFmtId="39" fontId="40" fillId="19" borderId="130" xfId="7" applyNumberFormat="1" applyFont="1" applyFill="1" applyBorder="1" applyAlignment="1" applyProtection="1">
      <alignment horizontal="left" vertical="center"/>
    </xf>
    <xf numFmtId="39" fontId="2" fillId="19" borderId="131" xfId="7" applyNumberFormat="1" applyFont="1" applyFill="1" applyBorder="1" applyAlignment="1" applyProtection="1">
      <alignment horizontal="left" vertical="center"/>
    </xf>
    <xf numFmtId="38" fontId="40" fillId="0" borderId="0" xfId="7" applyFont="1" applyAlignment="1" applyProtection="1">
      <alignment horizontal="left" vertical="center"/>
    </xf>
    <xf numFmtId="38" fontId="3" fillId="0" borderId="0" xfId="7" applyFont="1" applyAlignment="1" applyProtection="1">
      <alignment horizontal="right" vertical="center"/>
    </xf>
    <xf numFmtId="38" fontId="10" fillId="0" borderId="0" xfId="7" applyFont="1" applyAlignment="1" applyProtection="1">
      <alignment horizontal="left" vertical="center"/>
    </xf>
    <xf numFmtId="38" fontId="41" fillId="0" borderId="0" xfId="7" applyFont="1" applyAlignment="1" applyProtection="1">
      <alignment horizontal="left" vertical="center"/>
    </xf>
    <xf numFmtId="38" fontId="10" fillId="0" borderId="0" xfId="7" applyFont="1" applyFill="1" applyAlignment="1" applyProtection="1">
      <alignment horizontal="left" vertical="center"/>
    </xf>
    <xf numFmtId="165" fontId="3" fillId="20" borderId="132" xfId="7" applyNumberFormat="1" applyFont="1" applyFill="1" applyBorder="1" applyAlignment="1" applyProtection="1">
      <alignment horizontal="right" vertical="center"/>
    </xf>
    <xf numFmtId="169" fontId="3" fillId="20" borderId="132" xfId="7" applyNumberFormat="1" applyFont="1" applyFill="1" applyBorder="1" applyAlignment="1" applyProtection="1">
      <alignment horizontal="left" vertical="center"/>
    </xf>
    <xf numFmtId="165" fontId="3" fillId="21" borderId="132" xfId="7" applyNumberFormat="1" applyFont="1" applyFill="1" applyBorder="1" applyAlignment="1" applyProtection="1">
      <alignment horizontal="right" vertical="center"/>
    </xf>
    <xf numFmtId="38" fontId="3" fillId="0" borderId="0" xfId="7" applyFont="1" applyAlignment="1" applyProtection="1">
      <alignment horizontal="left" vertical="center" wrapText="1"/>
    </xf>
    <xf numFmtId="38" fontId="40" fillId="0" borderId="0" xfId="7" applyFont="1" applyAlignment="1" applyProtection="1">
      <alignment horizontal="left" vertical="center" wrapText="1"/>
    </xf>
    <xf numFmtId="38" fontId="3" fillId="0" borderId="0" xfId="7" applyFont="1" applyFill="1" applyAlignment="1" applyProtection="1">
      <alignment horizontal="left" vertical="center" wrapText="1"/>
    </xf>
    <xf numFmtId="39" fontId="42" fillId="22" borderId="133" xfId="7" applyNumberFormat="1" applyFont="1" applyFill="1" applyBorder="1" applyAlignment="1" applyProtection="1">
      <alignment horizontal="left" vertical="center" wrapText="1"/>
    </xf>
    <xf numFmtId="39" fontId="42" fillId="22" borderId="132" xfId="7" applyNumberFormat="1" applyFont="1" applyFill="1" applyBorder="1" applyAlignment="1" applyProtection="1">
      <alignment horizontal="left" vertical="center" wrapText="1"/>
    </xf>
    <xf numFmtId="38" fontId="42" fillId="22" borderId="132" xfId="7" applyFont="1" applyFill="1" applyBorder="1" applyAlignment="1" applyProtection="1">
      <alignment horizontal="left" vertical="center" wrapText="1"/>
    </xf>
    <xf numFmtId="39" fontId="42" fillId="22" borderId="134" xfId="7" applyNumberFormat="1" applyFont="1" applyFill="1" applyBorder="1" applyAlignment="1" applyProtection="1">
      <alignment horizontal="left" vertical="center" wrapText="1"/>
    </xf>
    <xf numFmtId="38" fontId="3" fillId="0" borderId="0" xfId="7" applyFont="1" applyFill="1" applyAlignment="1" applyProtection="1">
      <alignment horizontal="left" vertical="center"/>
    </xf>
    <xf numFmtId="38" fontId="3" fillId="0" borderId="0" xfId="7" applyFont="1" applyFill="1" applyAlignment="1">
      <alignment horizontal="left" vertical="center"/>
    </xf>
    <xf numFmtId="7" fontId="3" fillId="20" borderId="132" xfId="7" applyNumberFormat="1" applyFont="1" applyFill="1" applyBorder="1" applyAlignment="1" applyProtection="1">
      <alignment horizontal="right" vertical="center"/>
    </xf>
    <xf numFmtId="38" fontId="3" fillId="20" borderId="132" xfId="7" applyFont="1" applyFill="1" applyBorder="1" applyAlignment="1" applyProtection="1">
      <alignment horizontal="left" vertical="center"/>
    </xf>
    <xf numFmtId="38" fontId="42" fillId="22" borderId="133" xfId="7" applyFont="1" applyFill="1" applyBorder="1" applyAlignment="1" applyProtection="1">
      <alignment horizontal="left" vertical="center" wrapText="1"/>
    </xf>
    <xf numFmtId="37" fontId="43" fillId="0" borderId="132" xfId="7" applyNumberFormat="1" applyFont="1" applyFill="1" applyBorder="1" applyAlignment="1" applyProtection="1">
      <alignment horizontal="left" vertical="center"/>
      <protection locked="0"/>
    </xf>
    <xf numFmtId="169" fontId="43" fillId="0" borderId="132" xfId="7" applyNumberFormat="1" applyFont="1" applyFill="1" applyBorder="1" applyAlignment="1" applyProtection="1">
      <alignment horizontal="left" vertical="center"/>
      <protection locked="0"/>
    </xf>
    <xf numFmtId="170" fontId="43" fillId="0" borderId="132" xfId="7" applyNumberFormat="1" applyFont="1" applyFill="1" applyBorder="1" applyAlignment="1" applyProtection="1">
      <alignment horizontal="left" vertical="center"/>
      <protection locked="0"/>
    </xf>
    <xf numFmtId="7" fontId="43" fillId="0" borderId="132" xfId="7" applyNumberFormat="1" applyFont="1" applyFill="1" applyBorder="1" applyAlignment="1" applyProtection="1">
      <alignment horizontal="left" vertical="center"/>
      <protection locked="0"/>
    </xf>
    <xf numFmtId="38" fontId="3" fillId="0" borderId="0" xfId="7" applyFont="1" applyFill="1" applyBorder="1" applyAlignment="1" applyProtection="1">
      <alignment horizontal="left" vertical="center"/>
    </xf>
    <xf numFmtId="37" fontId="44" fillId="0" borderId="0" xfId="7" applyNumberFormat="1" applyFont="1" applyFill="1" applyBorder="1" applyAlignment="1" applyProtection="1">
      <alignment horizontal="left" vertical="center"/>
    </xf>
    <xf numFmtId="38" fontId="3" fillId="0" borderId="0" xfId="7" applyFont="1" applyAlignment="1" applyProtection="1">
      <alignment horizontal="left"/>
    </xf>
    <xf numFmtId="38" fontId="40" fillId="0" borderId="0" xfId="7" applyFont="1" applyAlignment="1" applyProtection="1">
      <alignment horizontal="left"/>
    </xf>
    <xf numFmtId="38" fontId="3" fillId="0" borderId="0" xfId="7" applyFont="1" applyFill="1" applyAlignment="1" applyProtection="1">
      <alignment horizontal="left"/>
    </xf>
    <xf numFmtId="38" fontId="3" fillId="0" borderId="0" xfId="7" applyFont="1" applyFill="1" applyBorder="1" applyAlignment="1" applyProtection="1">
      <alignment horizontal="left"/>
    </xf>
    <xf numFmtId="37" fontId="44" fillId="0" borderId="0" xfId="7" applyNumberFormat="1" applyFont="1" applyFill="1" applyBorder="1" applyAlignment="1" applyProtection="1">
      <alignment horizontal="left"/>
    </xf>
    <xf numFmtId="0" fontId="1" fillId="0" borderId="0" xfId="4" applyProtection="1">
      <protection locked="0"/>
    </xf>
    <xf numFmtId="0" fontId="1" fillId="2" borderId="0" xfId="4" applyFill="1" applyProtection="1">
      <protection locked="0"/>
    </xf>
    <xf numFmtId="0" fontId="36" fillId="2" borderId="0" xfId="4" applyFont="1" applyFill="1" applyProtection="1">
      <protection locked="0"/>
    </xf>
    <xf numFmtId="10" fontId="37" fillId="2" borderId="0" xfId="4" applyNumberFormat="1" applyFont="1" applyFill="1" applyProtection="1">
      <protection locked="0"/>
    </xf>
    <xf numFmtId="0" fontId="38" fillId="2" borderId="0" xfId="4" applyFont="1" applyFill="1" applyProtection="1">
      <protection locked="0"/>
    </xf>
    <xf numFmtId="171" fontId="1" fillId="0" borderId="0" xfId="4" applyNumberFormat="1"/>
    <xf numFmtId="44" fontId="1" fillId="0" borderId="0" xfId="4" applyNumberFormat="1"/>
    <xf numFmtId="171" fontId="37" fillId="0" borderId="0" xfId="11" applyNumberFormat="1" applyFont="1" applyFill="1" applyProtection="1">
      <protection locked="0"/>
    </xf>
    <xf numFmtId="0" fontId="1" fillId="0" borderId="0" xfId="4" applyFill="1" applyProtection="1">
      <protection locked="0"/>
    </xf>
    <xf numFmtId="0" fontId="36" fillId="0" borderId="0" xfId="4" applyFont="1" applyFill="1" applyProtection="1">
      <protection locked="0"/>
    </xf>
    <xf numFmtId="0" fontId="45" fillId="0" borderId="0" xfId="4" applyFont="1" applyFill="1" applyProtection="1">
      <protection locked="0"/>
    </xf>
    <xf numFmtId="10" fontId="37" fillId="0" borderId="0" xfId="4" applyNumberFormat="1" applyFont="1" applyFill="1" applyProtection="1">
      <protection locked="0"/>
    </xf>
    <xf numFmtId="6" fontId="1" fillId="0" borderId="0" xfId="4" applyNumberFormat="1"/>
    <xf numFmtId="0" fontId="46" fillId="0" borderId="0" xfId="4" applyFont="1" applyFill="1" applyBorder="1" applyAlignment="1" applyProtection="1">
      <alignment vertical="center"/>
      <protection locked="0"/>
    </xf>
    <xf numFmtId="10" fontId="47" fillId="0" borderId="0" xfId="6" applyNumberFormat="1" applyFont="1"/>
    <xf numFmtId="0" fontId="47" fillId="0" borderId="0" xfId="4" applyFont="1"/>
    <xf numFmtId="6" fontId="47" fillId="0" borderId="0" xfId="4" applyNumberFormat="1" applyFont="1"/>
    <xf numFmtId="8" fontId="47" fillId="0" borderId="0" xfId="4" applyNumberFormat="1" applyFont="1"/>
    <xf numFmtId="9" fontId="47" fillId="0" borderId="0" xfId="4" applyNumberFormat="1" applyFont="1"/>
    <xf numFmtId="0" fontId="46" fillId="24" borderId="0" xfId="4" applyFont="1" applyFill="1" applyBorder="1" applyAlignment="1" applyProtection="1">
      <alignment vertical="center"/>
      <protection locked="0"/>
    </xf>
    <xf numFmtId="6" fontId="46" fillId="25" borderId="11" xfId="4" applyNumberFormat="1" applyFont="1" applyFill="1" applyBorder="1" applyAlignment="1" applyProtection="1">
      <alignment vertical="center"/>
    </xf>
    <xf numFmtId="0" fontId="48" fillId="25" borderId="11" xfId="4" applyFont="1" applyFill="1" applyBorder="1" applyAlignment="1" applyProtection="1">
      <alignment vertical="center"/>
      <protection locked="0"/>
    </xf>
    <xf numFmtId="0" fontId="46" fillId="25" borderId="23" xfId="4" applyFont="1" applyFill="1" applyBorder="1" applyAlignment="1" applyProtection="1">
      <alignment vertical="center"/>
      <protection locked="0"/>
    </xf>
    <xf numFmtId="171" fontId="46" fillId="24" borderId="138" xfId="4" applyNumberFormat="1" applyFont="1" applyFill="1" applyBorder="1" applyAlignment="1" applyProtection="1">
      <alignment vertical="center"/>
    </xf>
    <xf numFmtId="171" fontId="46" fillId="24" borderId="0" xfId="4" applyNumberFormat="1" applyFont="1" applyFill="1" applyBorder="1" applyAlignment="1" applyProtection="1">
      <alignment vertical="center"/>
    </xf>
    <xf numFmtId="0" fontId="48" fillId="24" borderId="0" xfId="4" applyFont="1" applyFill="1" applyBorder="1" applyAlignment="1" applyProtection="1">
      <alignment vertical="center"/>
      <protection locked="0"/>
    </xf>
    <xf numFmtId="0" fontId="46" fillId="24" borderId="139" xfId="4" applyFont="1" applyFill="1" applyBorder="1" applyAlignment="1" applyProtection="1">
      <alignment vertical="center"/>
      <protection locked="0"/>
    </xf>
    <xf numFmtId="6" fontId="46" fillId="24" borderId="0" xfId="4" applyNumberFormat="1" applyFont="1" applyFill="1" applyAlignment="1" applyProtection="1">
      <alignment vertical="center"/>
    </xf>
    <xf numFmtId="9" fontId="46" fillId="24" borderId="0" xfId="12" applyFont="1" applyFill="1" applyBorder="1" applyAlignment="1" applyProtection="1">
      <alignment horizontal="left" vertical="center"/>
      <protection locked="0"/>
    </xf>
    <xf numFmtId="0" fontId="46" fillId="24" borderId="0" xfId="4" applyFont="1" applyFill="1" applyAlignment="1" applyProtection="1">
      <alignment vertical="center"/>
      <protection locked="0"/>
    </xf>
    <xf numFmtId="6" fontId="46" fillId="25" borderId="0" xfId="4" applyNumberFormat="1" applyFont="1" applyFill="1" applyAlignment="1" applyProtection="1">
      <alignment vertical="center"/>
    </xf>
    <xf numFmtId="9" fontId="46" fillId="25" borderId="0" xfId="12" applyFont="1" applyFill="1" applyBorder="1" applyAlignment="1" applyProtection="1">
      <alignment horizontal="left" vertical="center"/>
      <protection locked="0"/>
    </xf>
    <xf numFmtId="0" fontId="46" fillId="25" borderId="0" xfId="4" applyFont="1" applyFill="1" applyAlignment="1" applyProtection="1">
      <alignment vertical="center"/>
      <protection locked="0"/>
    </xf>
    <xf numFmtId="6" fontId="46" fillId="24" borderId="0" xfId="4" applyNumberFormat="1" applyFont="1" applyFill="1" applyAlignment="1" applyProtection="1">
      <alignment horizontal="right" vertical="center"/>
    </xf>
    <xf numFmtId="10" fontId="46" fillId="24" borderId="0" xfId="12" applyNumberFormat="1" applyFont="1" applyFill="1" applyBorder="1" applyAlignment="1" applyProtection="1">
      <alignment horizontal="center" vertical="center"/>
    </xf>
    <xf numFmtId="6" fontId="46" fillId="25" borderId="0" xfId="4" applyNumberFormat="1" applyFont="1" applyFill="1" applyAlignment="1" applyProtection="1">
      <alignment horizontal="right" vertical="center"/>
    </xf>
    <xf numFmtId="0" fontId="48" fillId="25" borderId="0" xfId="4" applyFont="1" applyFill="1" applyBorder="1" applyAlignment="1" applyProtection="1">
      <alignment vertical="center"/>
      <protection locked="0"/>
    </xf>
    <xf numFmtId="10" fontId="1" fillId="0" borderId="0" xfId="4" applyNumberFormat="1" applyProtection="1">
      <protection locked="0"/>
    </xf>
    <xf numFmtId="10" fontId="49" fillId="0" borderId="0" xfId="4" applyNumberFormat="1" applyFont="1" applyProtection="1">
      <protection locked="0"/>
    </xf>
    <xf numFmtId="10" fontId="49" fillId="0" borderId="11" xfId="4" applyNumberFormat="1" applyFont="1" applyBorder="1" applyProtection="1">
      <protection locked="0"/>
    </xf>
    <xf numFmtId="0" fontId="38" fillId="0" borderId="0" xfId="4" applyFont="1" applyProtection="1">
      <protection locked="0"/>
    </xf>
    <xf numFmtId="0" fontId="39" fillId="0" borderId="0" xfId="4" applyFont="1" applyAlignment="1" applyProtection="1">
      <alignment horizontal="left"/>
      <protection locked="0"/>
    </xf>
    <xf numFmtId="6" fontId="46" fillId="0" borderId="0" xfId="4" applyNumberFormat="1" applyFont="1" applyAlignment="1" applyProtection="1">
      <alignment horizontal="center" vertical="center"/>
      <protection locked="0"/>
    </xf>
    <xf numFmtId="6" fontId="47" fillId="0" borderId="0" xfId="4" applyNumberFormat="1" applyFont="1" applyAlignment="1" applyProtection="1">
      <alignment vertical="center"/>
      <protection locked="0"/>
    </xf>
    <xf numFmtId="171" fontId="47" fillId="0" borderId="0" xfId="4" applyNumberFormat="1" applyFont="1"/>
    <xf numFmtId="10" fontId="47" fillId="25" borderId="0" xfId="6" applyNumberFormat="1" applyFont="1" applyFill="1"/>
    <xf numFmtId="10" fontId="49" fillId="25" borderId="11" xfId="4" applyNumberFormat="1" applyFont="1" applyFill="1" applyBorder="1" applyProtection="1">
      <protection locked="0"/>
    </xf>
    <xf numFmtId="6" fontId="47" fillId="25" borderId="0" xfId="4" applyNumberFormat="1" applyFont="1" applyFill="1" applyAlignment="1" applyProtection="1">
      <alignment vertical="center"/>
      <protection locked="0"/>
    </xf>
    <xf numFmtId="171" fontId="47" fillId="25" borderId="0" xfId="4" applyNumberFormat="1" applyFont="1" applyFill="1"/>
    <xf numFmtId="8" fontId="47" fillId="25" borderId="0" xfId="4" applyNumberFormat="1" applyFont="1" applyFill="1"/>
    <xf numFmtId="0" fontId="47" fillId="25" borderId="0" xfId="4" applyFont="1" applyFill="1"/>
    <xf numFmtId="0" fontId="51" fillId="0" borderId="0" xfId="4" applyFont="1" applyProtection="1">
      <protection locked="0"/>
    </xf>
    <xf numFmtId="10" fontId="52" fillId="0" borderId="11" xfId="4" applyNumberFormat="1" applyFont="1" applyBorder="1" applyProtection="1">
      <protection locked="0"/>
    </xf>
    <xf numFmtId="6" fontId="53" fillId="25" borderId="0" xfId="4" applyNumberFormat="1" applyFont="1" applyFill="1" applyAlignment="1" applyProtection="1">
      <alignment horizontal="right" vertical="center"/>
    </xf>
    <xf numFmtId="6" fontId="53" fillId="24" borderId="0" xfId="4" applyNumberFormat="1" applyFont="1" applyFill="1" applyAlignment="1" applyProtection="1">
      <alignment horizontal="right" vertical="center"/>
    </xf>
    <xf numFmtId="6" fontId="54" fillId="0" borderId="0" xfId="4" applyNumberFormat="1" applyFont="1" applyAlignment="1" applyProtection="1">
      <alignment vertical="center"/>
      <protection locked="0"/>
    </xf>
    <xf numFmtId="6" fontId="53" fillId="24" borderId="0" xfId="4" applyNumberFormat="1" applyFont="1" applyFill="1" applyAlignment="1" applyProtection="1">
      <alignment vertical="center"/>
    </xf>
    <xf numFmtId="171" fontId="53" fillId="24" borderId="0" xfId="4" applyNumberFormat="1" applyFont="1" applyFill="1" applyBorder="1" applyAlignment="1" applyProtection="1">
      <alignment vertical="center"/>
    </xf>
    <xf numFmtId="6" fontId="53" fillId="25" borderId="11" xfId="4" applyNumberFormat="1" applyFont="1" applyFill="1" applyBorder="1" applyAlignment="1" applyProtection="1">
      <alignment vertical="center"/>
    </xf>
    <xf numFmtId="171" fontId="54" fillId="0" borderId="0" xfId="4" applyNumberFormat="1" applyFont="1"/>
    <xf numFmtId="8" fontId="54" fillId="0" borderId="0" xfId="4" applyNumberFormat="1" applyFont="1"/>
    <xf numFmtId="0" fontId="54" fillId="0" borderId="0" xfId="4" applyFont="1"/>
    <xf numFmtId="10" fontId="54" fillId="0" borderId="0" xfId="6" applyNumberFormat="1" applyFont="1"/>
    <xf numFmtId="0" fontId="51" fillId="0" borderId="0" xfId="4" applyFont="1"/>
    <xf numFmtId="44" fontId="51" fillId="0" borderId="0" xfId="4" applyNumberFormat="1" applyFont="1"/>
    <xf numFmtId="5" fontId="0" fillId="0" borderId="66" xfId="0" applyNumberFormat="1" applyBorder="1" applyAlignment="1">
      <alignment horizontal="center" vertical="center"/>
    </xf>
    <xf numFmtId="5" fontId="0" fillId="0" borderId="49" xfId="0" applyNumberForma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0" fillId="0" borderId="66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34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164" fontId="15" fillId="3" borderId="28" xfId="0" applyNumberFormat="1" applyFont="1" applyFill="1" applyBorder="1" applyAlignment="1" applyProtection="1">
      <alignment horizontal="center"/>
      <protection locked="0"/>
    </xf>
    <xf numFmtId="164" fontId="15" fillId="3" borderId="27" xfId="0" applyNumberFormat="1" applyFont="1" applyFill="1" applyBorder="1" applyAlignment="1" applyProtection="1">
      <alignment horizontal="center"/>
      <protection locked="0"/>
    </xf>
    <xf numFmtId="0" fontId="15" fillId="0" borderId="54" xfId="0" applyFont="1" applyBorder="1"/>
    <xf numFmtId="0" fontId="15" fillId="0" borderId="55" xfId="0" applyFont="1" applyBorder="1"/>
    <xf numFmtId="164" fontId="15" fillId="0" borderId="38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6" fontId="15" fillId="0" borderId="27" xfId="0" applyNumberFormat="1" applyFont="1" applyBorder="1" applyAlignment="1">
      <alignment horizontal="center"/>
    </xf>
    <xf numFmtId="6" fontId="15" fillId="0" borderId="9" xfId="0" applyNumberFormat="1" applyFont="1" applyBorder="1" applyAlignment="1">
      <alignment horizontal="center"/>
    </xf>
    <xf numFmtId="6" fontId="15" fillId="0" borderId="38" xfId="0" applyNumberFormat="1" applyFont="1" applyBorder="1" applyAlignment="1">
      <alignment horizontal="center"/>
    </xf>
    <xf numFmtId="6" fontId="15" fillId="0" borderId="2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0" fontId="12" fillId="0" borderId="34" xfId="0" applyFont="1" applyBorder="1"/>
    <xf numFmtId="0" fontId="12" fillId="0" borderId="2" xfId="0" applyFont="1" applyBorder="1"/>
    <xf numFmtId="49" fontId="12" fillId="7" borderId="16" xfId="0" applyNumberFormat="1" applyFont="1" applyFill="1" applyBorder="1" applyAlignment="1" applyProtection="1">
      <alignment horizontal="left"/>
      <protection locked="0"/>
    </xf>
    <xf numFmtId="49" fontId="12" fillId="7" borderId="62" xfId="0" applyNumberFormat="1" applyFont="1" applyFill="1" applyBorder="1" applyAlignment="1" applyProtection="1">
      <alignment horizontal="left"/>
      <protection locked="0"/>
    </xf>
    <xf numFmtId="49" fontId="12" fillId="7" borderId="5" xfId="0" applyNumberFormat="1" applyFont="1" applyFill="1" applyBorder="1" applyAlignment="1" applyProtection="1">
      <alignment horizontal="left"/>
      <protection locked="0"/>
    </xf>
    <xf numFmtId="6" fontId="15" fillId="0" borderId="72" xfId="0" applyNumberFormat="1" applyFont="1" applyBorder="1" applyAlignment="1">
      <alignment horizontal="center"/>
    </xf>
    <xf numFmtId="6" fontId="15" fillId="0" borderId="73" xfId="0" applyNumberFormat="1" applyFont="1" applyBorder="1" applyAlignment="1">
      <alignment horizontal="center"/>
    </xf>
    <xf numFmtId="0" fontId="15" fillId="0" borderId="78" xfId="0" applyFont="1" applyBorder="1" applyAlignment="1">
      <alignment horizontal="left"/>
    </xf>
    <xf numFmtId="0" fontId="15" fillId="0" borderId="79" xfId="0" applyFont="1" applyBorder="1" applyAlignment="1">
      <alignment horizontal="left"/>
    </xf>
    <xf numFmtId="38" fontId="15" fillId="0" borderId="38" xfId="0" applyNumberFormat="1" applyFont="1" applyBorder="1" applyAlignment="1">
      <alignment horizontal="center"/>
    </xf>
    <xf numFmtId="38" fontId="15" fillId="0" borderId="2" xfId="0" applyNumberFormat="1" applyFont="1" applyBorder="1" applyAlignment="1">
      <alignment horizontal="center"/>
    </xf>
    <xf numFmtId="0" fontId="15" fillId="2" borderId="3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49" fontId="12" fillId="7" borderId="41" xfId="0" applyNumberFormat="1" applyFont="1" applyFill="1" applyBorder="1" applyAlignment="1" applyProtection="1">
      <alignment horizontal="left"/>
      <protection locked="0"/>
    </xf>
    <xf numFmtId="49" fontId="12" fillId="7" borderId="80" xfId="0" applyNumberFormat="1" applyFont="1" applyFill="1" applyBorder="1" applyAlignment="1" applyProtection="1">
      <alignment horizontal="left"/>
      <protection locked="0"/>
    </xf>
    <xf numFmtId="49" fontId="12" fillId="7" borderId="53" xfId="0" applyNumberFormat="1" applyFont="1" applyFill="1" applyBorder="1" applyAlignment="1" applyProtection="1">
      <alignment horizontal="left"/>
      <protection locked="0"/>
    </xf>
    <xf numFmtId="0" fontId="17" fillId="6" borderId="68" xfId="0" applyFont="1" applyFill="1" applyBorder="1" applyAlignment="1">
      <alignment horizontal="center" wrapText="1"/>
    </xf>
    <xf numFmtId="0" fontId="17" fillId="6" borderId="56" xfId="0" applyFont="1" applyFill="1" applyBorder="1" applyAlignment="1">
      <alignment horizontal="center" wrapText="1"/>
    </xf>
    <xf numFmtId="0" fontId="17" fillId="6" borderId="13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5" fontId="15" fillId="0" borderId="2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75" xfId="0" applyFont="1" applyBorder="1" applyAlignment="1">
      <alignment horizontal="left"/>
    </xf>
    <xf numFmtId="164" fontId="15" fillId="3" borderId="41" xfId="0" applyNumberFormat="1" applyFont="1" applyFill="1" applyBorder="1" applyAlignment="1" applyProtection="1">
      <alignment horizontal="center"/>
      <protection locked="0"/>
    </xf>
    <xf numFmtId="164" fontId="15" fillId="3" borderId="42" xfId="0" applyNumberFormat="1" applyFont="1" applyFill="1" applyBorder="1" applyAlignment="1" applyProtection="1">
      <alignment horizontal="center"/>
      <protection locked="0"/>
    </xf>
    <xf numFmtId="0" fontId="15" fillId="0" borderId="51" xfId="0" applyFont="1" applyBorder="1" applyAlignment="1">
      <alignment horizontal="left"/>
    </xf>
    <xf numFmtId="0" fontId="15" fillId="0" borderId="74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2" fillId="0" borderId="10" xfId="0" applyFont="1" applyBorder="1"/>
    <xf numFmtId="0" fontId="12" fillId="0" borderId="12" xfId="0" applyFont="1" applyBorder="1"/>
    <xf numFmtId="49" fontId="12" fillId="7" borderId="28" xfId="0" applyNumberFormat="1" applyFont="1" applyFill="1" applyBorder="1" applyAlignment="1" applyProtection="1">
      <alignment horizontal="left"/>
      <protection locked="0"/>
    </xf>
    <xf numFmtId="49" fontId="12" fillId="7" borderId="69" xfId="0" applyNumberFormat="1" applyFont="1" applyFill="1" applyBorder="1" applyAlignment="1" applyProtection="1">
      <alignment horizontal="left"/>
      <protection locked="0"/>
    </xf>
    <xf numFmtId="49" fontId="12" fillId="7" borderId="1" xfId="0" applyNumberFormat="1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164" fontId="0" fillId="0" borderId="6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2" fillId="0" borderId="65" xfId="0" applyFont="1" applyBorder="1" applyAlignment="1">
      <alignment horizontal="left"/>
    </xf>
    <xf numFmtId="0" fontId="12" fillId="0" borderId="70" xfId="0" applyFont="1" applyBorder="1"/>
    <xf numFmtId="0" fontId="12" fillId="0" borderId="71" xfId="0" applyFont="1" applyBorder="1"/>
    <xf numFmtId="0" fontId="15" fillId="3" borderId="30" xfId="0" applyFont="1" applyFill="1" applyBorder="1" applyAlignment="1" applyProtection="1">
      <alignment horizontal="center"/>
      <protection locked="0"/>
    </xf>
    <xf numFmtId="0" fontId="15" fillId="3" borderId="31" xfId="0" applyFont="1" applyFill="1" applyBorder="1" applyAlignment="1" applyProtection="1">
      <alignment horizontal="center"/>
      <protection locked="0"/>
    </xf>
    <xf numFmtId="0" fontId="17" fillId="6" borderId="68" xfId="0" applyFont="1" applyFill="1" applyBorder="1" applyAlignment="1">
      <alignment horizontal="center" vertical="center"/>
    </xf>
    <xf numFmtId="0" fontId="19" fillId="6" borderId="56" xfId="0" applyFont="1" applyFill="1" applyBorder="1"/>
    <xf numFmtId="0" fontId="19" fillId="6" borderId="13" xfId="0" applyFont="1" applyFill="1" applyBorder="1"/>
    <xf numFmtId="0" fontId="19" fillId="6" borderId="39" xfId="0" applyFont="1" applyFill="1" applyBorder="1"/>
    <xf numFmtId="0" fontId="19" fillId="6" borderId="29" xfId="0" applyFont="1" applyFill="1" applyBorder="1"/>
    <xf numFmtId="0" fontId="19" fillId="6" borderId="40" xfId="0" applyFont="1" applyFill="1" applyBorder="1"/>
    <xf numFmtId="0" fontId="12" fillId="0" borderId="6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5" fillId="0" borderId="0" xfId="0" applyFont="1" applyAlignment="1">
      <alignment horizontal="left"/>
    </xf>
    <xf numFmtId="164" fontId="15" fillId="0" borderId="27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7" fillId="0" borderId="6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1" fillId="6" borderId="3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8" fillId="6" borderId="68" xfId="0" applyFont="1" applyFill="1" applyBorder="1" applyAlignment="1">
      <alignment horizontal="center"/>
    </xf>
    <xf numFmtId="0" fontId="18" fillId="6" borderId="56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21" fillId="6" borderId="3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3" fillId="6" borderId="14" xfId="0" applyFont="1" applyFill="1" applyBorder="1" applyAlignment="1">
      <alignment horizontal="center" wrapText="1"/>
    </xf>
    <xf numFmtId="0" fontId="16" fillId="6" borderId="22" xfId="0" applyFont="1" applyFill="1" applyBorder="1"/>
    <xf numFmtId="6" fontId="20" fillId="0" borderId="14" xfId="0" applyNumberFormat="1" applyFont="1" applyBorder="1" applyAlignment="1">
      <alignment horizontal="center" vertical="center"/>
    </xf>
    <xf numFmtId="6" fontId="20" fillId="0" borderId="22" xfId="0" applyNumberFormat="1" applyFont="1" applyBorder="1" applyAlignment="1">
      <alignment horizontal="center" vertical="center"/>
    </xf>
    <xf numFmtId="164" fontId="15" fillId="3" borderId="16" xfId="0" applyNumberFormat="1" applyFont="1" applyFill="1" applyBorder="1" applyAlignment="1" applyProtection="1">
      <alignment horizontal="center"/>
      <protection locked="0"/>
    </xf>
    <xf numFmtId="164" fontId="15" fillId="3" borderId="38" xfId="0" applyNumberFormat="1" applyFont="1" applyFill="1" applyBorder="1" applyAlignment="1" applyProtection="1">
      <alignment horizontal="center"/>
      <protection locked="0"/>
    </xf>
    <xf numFmtId="164" fontId="15" fillId="0" borderId="26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6" fontId="15" fillId="0" borderId="26" xfId="0" applyNumberFormat="1" applyFont="1" applyBorder="1" applyAlignment="1">
      <alignment horizontal="center"/>
    </xf>
    <xf numFmtId="6" fontId="15" fillId="0" borderId="37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6" borderId="68" xfId="0" applyFont="1" applyFill="1" applyBorder="1" applyAlignment="1">
      <alignment horizontal="center"/>
    </xf>
    <xf numFmtId="0" fontId="17" fillId="6" borderId="56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5" fillId="11" borderId="28" xfId="0" applyFont="1" applyFill="1" applyBorder="1" applyAlignment="1" applyProtection="1">
      <alignment horizontal="center"/>
      <protection locked="0"/>
    </xf>
    <xf numFmtId="0" fontId="15" fillId="11" borderId="69" xfId="0" applyFont="1" applyFill="1" applyBorder="1" applyAlignment="1" applyProtection="1">
      <alignment horizontal="center"/>
      <protection locked="0"/>
    </xf>
    <xf numFmtId="0" fontId="15" fillId="11" borderId="1" xfId="0" applyFont="1" applyFill="1" applyBorder="1" applyAlignment="1" applyProtection="1">
      <alignment horizontal="center"/>
      <protection locked="0"/>
    </xf>
    <xf numFmtId="0" fontId="12" fillId="11" borderId="16" xfId="0" applyFont="1" applyFill="1" applyBorder="1" applyAlignment="1" applyProtection="1">
      <alignment horizontal="center"/>
      <protection locked="0"/>
    </xf>
    <xf numFmtId="0" fontId="12" fillId="11" borderId="62" xfId="0" applyFont="1" applyFill="1" applyBorder="1" applyAlignment="1" applyProtection="1">
      <alignment horizontal="center"/>
      <protection locked="0"/>
    </xf>
    <xf numFmtId="0" fontId="12" fillId="11" borderId="5" xfId="0" applyFont="1" applyFill="1" applyBorder="1" applyAlignment="1" applyProtection="1">
      <alignment horizontal="center"/>
      <protection locked="0"/>
    </xf>
    <xf numFmtId="0" fontId="12" fillId="11" borderId="41" xfId="0" applyFont="1" applyFill="1" applyBorder="1" applyAlignment="1" applyProtection="1">
      <alignment horizontal="center"/>
      <protection locked="0"/>
    </xf>
    <xf numFmtId="0" fontId="12" fillId="11" borderId="80" xfId="0" applyFont="1" applyFill="1" applyBorder="1" applyAlignment="1" applyProtection="1">
      <alignment horizontal="center"/>
      <protection locked="0"/>
    </xf>
    <xf numFmtId="0" fontId="12" fillId="11" borderId="53" xfId="0" applyFont="1" applyFill="1" applyBorder="1" applyAlignment="1" applyProtection="1">
      <alignment horizontal="center"/>
      <protection locked="0"/>
    </xf>
    <xf numFmtId="38" fontId="15" fillId="0" borderId="23" xfId="0" applyNumberFormat="1" applyFont="1" applyBorder="1" applyAlignment="1">
      <alignment horizontal="center"/>
    </xf>
    <xf numFmtId="38" fontId="15" fillId="0" borderId="12" xfId="0" applyNumberFormat="1" applyFont="1" applyBorder="1" applyAlignment="1">
      <alignment horizontal="center"/>
    </xf>
    <xf numFmtId="49" fontId="12" fillId="11" borderId="16" xfId="0" applyNumberFormat="1" applyFont="1" applyFill="1" applyBorder="1" applyAlignment="1" applyProtection="1">
      <alignment horizontal="center"/>
      <protection locked="0"/>
    </xf>
    <xf numFmtId="49" fontId="12" fillId="11" borderId="5" xfId="0" applyNumberFormat="1" applyFont="1" applyFill="1" applyBorder="1" applyAlignment="1" applyProtection="1">
      <alignment horizontal="center"/>
      <protection locked="0"/>
    </xf>
    <xf numFmtId="49" fontId="12" fillId="11" borderId="28" xfId="0" applyNumberFormat="1" applyFont="1" applyFill="1" applyBorder="1" applyAlignment="1" applyProtection="1">
      <alignment horizontal="center"/>
      <protection locked="0"/>
    </xf>
    <xf numFmtId="49" fontId="12" fillId="11" borderId="1" xfId="0" applyNumberFormat="1" applyFont="1" applyFill="1" applyBorder="1" applyAlignment="1" applyProtection="1">
      <alignment horizontal="center"/>
      <protection locked="0"/>
    </xf>
    <xf numFmtId="49" fontId="12" fillId="11" borderId="62" xfId="0" applyNumberFormat="1" applyFont="1" applyFill="1" applyBorder="1" applyAlignment="1" applyProtection="1">
      <alignment horizontal="center"/>
      <protection locked="0"/>
    </xf>
    <xf numFmtId="49" fontId="12" fillId="11" borderId="38" xfId="0" applyNumberFormat="1" applyFont="1" applyFill="1" applyBorder="1" applyAlignment="1" applyProtection="1">
      <alignment horizontal="center"/>
      <protection locked="0"/>
    </xf>
    <xf numFmtId="0" fontId="13" fillId="6" borderId="13" xfId="0" applyFont="1" applyFill="1" applyBorder="1" applyAlignment="1">
      <alignment horizontal="center"/>
    </xf>
    <xf numFmtId="0" fontId="13" fillId="6" borderId="68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5" fillId="0" borderId="41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2" fillId="0" borderId="35" xfId="0" applyFont="1" applyBorder="1"/>
    <xf numFmtId="6" fontId="20" fillId="0" borderId="68" xfId="0" applyNumberFormat="1" applyFont="1" applyBorder="1" applyAlignment="1">
      <alignment horizontal="center" vertical="center"/>
    </xf>
    <xf numFmtId="6" fontId="20" fillId="0" borderId="39" xfId="0" applyNumberFormat="1" applyFont="1" applyBorder="1" applyAlignment="1">
      <alignment horizontal="center" vertical="center"/>
    </xf>
    <xf numFmtId="6" fontId="20" fillId="0" borderId="13" xfId="0" applyNumberFormat="1" applyFont="1" applyBorder="1" applyAlignment="1">
      <alignment horizontal="center" vertical="center"/>
    </xf>
    <xf numFmtId="6" fontId="20" fillId="0" borderId="4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/>
    </xf>
    <xf numFmtId="0" fontId="12" fillId="0" borderId="11" xfId="0" applyFont="1" applyBorder="1"/>
    <xf numFmtId="49" fontId="12" fillId="11" borderId="69" xfId="0" applyNumberFormat="1" applyFont="1" applyFill="1" applyBorder="1" applyAlignment="1" applyProtection="1">
      <alignment horizontal="center"/>
      <protection locked="0"/>
    </xf>
    <xf numFmtId="49" fontId="12" fillId="11" borderId="27" xfId="0" applyNumberFormat="1" applyFont="1" applyFill="1" applyBorder="1" applyAlignment="1" applyProtection="1">
      <alignment horizontal="center"/>
      <protection locked="0"/>
    </xf>
    <xf numFmtId="49" fontId="12" fillId="11" borderId="41" xfId="0" applyNumberFormat="1" applyFont="1" applyFill="1" applyBorder="1" applyAlignment="1" applyProtection="1">
      <alignment horizontal="center"/>
      <protection locked="0"/>
    </xf>
    <xf numFmtId="49" fontId="12" fillId="11" borderId="53" xfId="0" applyNumberFormat="1" applyFont="1" applyFill="1" applyBorder="1" applyAlignment="1" applyProtection="1">
      <alignment horizontal="center"/>
      <protection locked="0"/>
    </xf>
    <xf numFmtId="49" fontId="12" fillId="11" borderId="80" xfId="0" applyNumberFormat="1" applyFont="1" applyFill="1" applyBorder="1" applyAlignment="1" applyProtection="1">
      <alignment horizontal="center"/>
      <protection locked="0"/>
    </xf>
    <xf numFmtId="49" fontId="12" fillId="11" borderId="42" xfId="0" applyNumberFormat="1" applyFont="1" applyFill="1" applyBorder="1" applyAlignment="1" applyProtection="1">
      <alignment horizontal="center"/>
      <protection locked="0"/>
    </xf>
    <xf numFmtId="0" fontId="15" fillId="11" borderId="16" xfId="0" applyFont="1" applyFill="1" applyBorder="1" applyAlignment="1" applyProtection="1">
      <alignment horizontal="center"/>
      <protection locked="0"/>
    </xf>
    <xf numFmtId="0" fontId="15" fillId="11" borderId="62" xfId="0" applyFont="1" applyFill="1" applyBorder="1" applyAlignment="1" applyProtection="1">
      <alignment horizontal="center"/>
      <protection locked="0"/>
    </xf>
    <xf numFmtId="0" fontId="15" fillId="11" borderId="5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6" fontId="15" fillId="0" borderId="29" xfId="0" applyNumberFormat="1" applyFont="1" applyBorder="1" applyAlignment="1">
      <alignment horizontal="center"/>
    </xf>
    <xf numFmtId="6" fontId="15" fillId="0" borderId="40" xfId="0" applyNumberFormat="1" applyFont="1" applyBorder="1" applyAlignment="1">
      <alignment horizontal="center"/>
    </xf>
    <xf numFmtId="0" fontId="25" fillId="0" borderId="83" xfId="3" applyFont="1" applyBorder="1" applyAlignment="1">
      <alignment horizontal="left"/>
    </xf>
    <xf numFmtId="0" fontId="22" fillId="0" borderId="82" xfId="3" applyFont="1" applyBorder="1"/>
    <xf numFmtId="0" fontId="22" fillId="0" borderId="81" xfId="3" applyFont="1" applyBorder="1"/>
    <xf numFmtId="0" fontId="24" fillId="12" borderId="91" xfId="3" applyFont="1" applyFill="1" applyBorder="1" applyAlignment="1">
      <alignment horizontal="center"/>
    </xf>
    <xf numFmtId="0" fontId="22" fillId="0" borderId="90" xfId="3" applyFont="1" applyBorder="1"/>
    <xf numFmtId="0" fontId="22" fillId="0" borderId="89" xfId="3" applyFont="1" applyBorder="1"/>
    <xf numFmtId="0" fontId="23" fillId="0" borderId="88" xfId="3" applyBorder="1" applyAlignment="1">
      <alignment horizontal="left"/>
    </xf>
    <xf numFmtId="0" fontId="22" fillId="0" borderId="87" xfId="3" applyFont="1" applyBorder="1"/>
    <xf numFmtId="0" fontId="22" fillId="0" borderId="86" xfId="3" applyFont="1" applyBorder="1"/>
    <xf numFmtId="0" fontId="26" fillId="0" borderId="91" xfId="3" applyFont="1" applyBorder="1" applyAlignment="1">
      <alignment horizontal="left" vertical="center"/>
    </xf>
    <xf numFmtId="0" fontId="24" fillId="0" borderId="91" xfId="3" applyFont="1" applyBorder="1" applyAlignment="1">
      <alignment horizontal="center"/>
    </xf>
    <xf numFmtId="0" fontId="22" fillId="0" borderId="110" xfId="3" applyFont="1" applyBorder="1" applyAlignment="1">
      <alignment horizontal="left"/>
    </xf>
    <xf numFmtId="0" fontId="22" fillId="0" borderId="109" xfId="3" applyFont="1" applyBorder="1"/>
    <xf numFmtId="0" fontId="22" fillId="0" borderId="107" xfId="3" applyFont="1" applyBorder="1"/>
    <xf numFmtId="0" fontId="23" fillId="0" borderId="103" xfId="3" applyBorder="1" applyAlignment="1">
      <alignment horizontal="left"/>
    </xf>
    <xf numFmtId="0" fontId="22" fillId="0" borderId="102" xfId="3" applyFont="1" applyBorder="1"/>
    <xf numFmtId="0" fontId="22" fillId="0" borderId="100" xfId="3" applyFont="1" applyBorder="1"/>
    <xf numFmtId="0" fontId="23" fillId="0" borderId="110" xfId="3" applyBorder="1" applyAlignment="1">
      <alignment horizontal="left"/>
    </xf>
    <xf numFmtId="0" fontId="22" fillId="0" borderId="99" xfId="3" applyFont="1" applyBorder="1" applyAlignment="1">
      <alignment horizontal="left"/>
    </xf>
    <xf numFmtId="0" fontId="22" fillId="0" borderId="98" xfId="3" applyFont="1" applyBorder="1"/>
    <xf numFmtId="0" fontId="22" fillId="0" borderId="96" xfId="3" applyFont="1" applyBorder="1"/>
    <xf numFmtId="0" fontId="23" fillId="0" borderId="85" xfId="3" applyBorder="1" applyAlignment="1">
      <alignment horizontal="left"/>
    </xf>
    <xf numFmtId="0" fontId="23" fillId="0" borderId="0" xfId="3"/>
    <xf numFmtId="0" fontId="22" fillId="0" borderId="84" xfId="3" applyFont="1" applyBorder="1"/>
    <xf numFmtId="0" fontId="23" fillId="0" borderId="99" xfId="3" applyBorder="1" applyAlignment="1">
      <alignment horizontal="left"/>
    </xf>
    <xf numFmtId="0" fontId="24" fillId="0" borderId="91" xfId="3" applyFont="1" applyBorder="1" applyAlignment="1">
      <alignment horizontal="left"/>
    </xf>
    <xf numFmtId="0" fontId="22" fillId="0" borderId="83" xfId="3" applyFont="1" applyBorder="1" applyAlignment="1">
      <alignment horizontal="left"/>
    </xf>
    <xf numFmtId="0" fontId="24" fillId="0" borderId="85" xfId="3" applyFont="1" applyBorder="1" applyAlignment="1">
      <alignment horizontal="left"/>
    </xf>
    <xf numFmtId="0" fontId="24" fillId="13" borderId="88" xfId="3" applyFont="1" applyFill="1" applyBorder="1" applyAlignment="1">
      <alignment horizontal="center"/>
    </xf>
    <xf numFmtId="0" fontId="28" fillId="14" borderId="88" xfId="3" applyFont="1" applyFill="1" applyBorder="1" applyAlignment="1">
      <alignment horizontal="center"/>
    </xf>
    <xf numFmtId="0" fontId="24" fillId="14" borderId="88" xfId="3" applyFont="1" applyFill="1" applyBorder="1" applyAlignment="1">
      <alignment horizontal="right"/>
    </xf>
    <xf numFmtId="0" fontId="24" fillId="16" borderId="91" xfId="3" applyFont="1" applyFill="1" applyBorder="1" applyAlignment="1">
      <alignment horizontal="center"/>
    </xf>
    <xf numFmtId="0" fontId="24" fillId="14" borderId="91" xfId="3" applyFont="1" applyFill="1" applyBorder="1" applyAlignment="1">
      <alignment horizontal="center" vertical="center"/>
    </xf>
    <xf numFmtId="0" fontId="22" fillId="0" borderId="103" xfId="3" applyFont="1" applyBorder="1" applyAlignment="1">
      <alignment horizontal="left"/>
    </xf>
    <xf numFmtId="0" fontId="25" fillId="0" borderId="91" xfId="3" applyFont="1" applyBorder="1" applyAlignment="1">
      <alignment horizontal="center"/>
    </xf>
    <xf numFmtId="0" fontId="24" fillId="14" borderId="85" xfId="3" applyFont="1" applyFill="1" applyBorder="1" applyAlignment="1">
      <alignment horizontal="center"/>
    </xf>
    <xf numFmtId="0" fontId="22" fillId="0" borderId="0" xfId="3" applyFont="1" applyBorder="1"/>
    <xf numFmtId="0" fontId="24" fillId="0" borderId="83" xfId="3" applyFont="1" applyBorder="1" applyAlignment="1">
      <alignment horizontal="left"/>
    </xf>
    <xf numFmtId="0" fontId="24" fillId="14" borderId="88" xfId="3" applyFont="1" applyFill="1" applyBorder="1" applyAlignment="1">
      <alignment horizontal="center"/>
    </xf>
    <xf numFmtId="0" fontId="49" fillId="0" borderId="11" xfId="4" applyFont="1" applyBorder="1" applyAlignment="1" applyProtection="1">
      <alignment horizontal="right"/>
      <protection locked="0"/>
    </xf>
    <xf numFmtId="39" fontId="42" fillId="23" borderId="137" xfId="7" applyNumberFormat="1" applyFont="1" applyFill="1" applyBorder="1" applyAlignment="1" applyProtection="1">
      <alignment horizontal="left" vertical="center"/>
    </xf>
    <xf numFmtId="39" fontId="42" fillId="23" borderId="136" xfId="7" applyNumberFormat="1" applyFont="1" applyFill="1" applyBorder="1" applyAlignment="1" applyProtection="1">
      <alignment horizontal="left" vertical="center"/>
    </xf>
    <xf numFmtId="39" fontId="42" fillId="23" borderId="135" xfId="7" applyNumberFormat="1" applyFont="1" applyFill="1" applyBorder="1" applyAlignment="1" applyProtection="1">
      <alignment horizontal="left" vertical="center"/>
    </xf>
    <xf numFmtId="38" fontId="43" fillId="0" borderId="137" xfId="7" applyFont="1" applyFill="1" applyBorder="1" applyAlignment="1" applyProtection="1">
      <alignment horizontal="left" vertical="center"/>
    </xf>
    <xf numFmtId="38" fontId="43" fillId="0" borderId="136" xfId="7" applyFont="1" applyFill="1" applyBorder="1" applyAlignment="1" applyProtection="1">
      <alignment horizontal="left" vertical="center"/>
    </xf>
    <xf numFmtId="38" fontId="43" fillId="0" borderId="135" xfId="7" applyFont="1" applyFill="1" applyBorder="1" applyAlignment="1" applyProtection="1">
      <alignment horizontal="left" vertical="center"/>
    </xf>
  </cellXfs>
  <cellStyles count="14">
    <cellStyle name="Comma 2" xfId="9" xr:uid="{23A9ED72-B907-451E-8B02-9B5A3E868AE6}"/>
    <cellStyle name="Currency 2" xfId="5" xr:uid="{22C270BC-D31C-4C41-B779-82CD038BAC5C}"/>
    <cellStyle name="Currency 3" xfId="11" xr:uid="{D0ECEE1E-336E-4311-A875-6D03F2CC46AC}"/>
    <cellStyle name="Normal" xfId="0" builtinId="0"/>
    <cellStyle name="Normal 2" xfId="1" xr:uid="{00000000-0005-0000-0000-000001000000}"/>
    <cellStyle name="Normal 2 2" xfId="7" xr:uid="{DCC842EB-DA2A-4EDD-BE6A-A777AC4F16C0}"/>
    <cellStyle name="Normal 3" xfId="3" xr:uid="{2C518DA0-4FF0-4E83-81AD-DF4BC9138005}"/>
    <cellStyle name="Normal 4" xfId="4" xr:uid="{FDC203C9-B16F-4578-93EE-D3330D3EF3EE}"/>
    <cellStyle name="Normal 5" xfId="8" xr:uid="{16AF89E1-8795-48B8-AAE0-B2BC7C47D364}"/>
    <cellStyle name="Normal 6" xfId="10" xr:uid="{5DBDFFCA-83DD-48CE-B2A6-3254C42CE3DA}"/>
    <cellStyle name="Normal 7" xfId="13" xr:uid="{E75AA160-E2E0-41F5-88E2-FEB9A3BBF409}"/>
    <cellStyle name="Normal_Template" xfId="2" xr:uid="{00000000-0005-0000-0000-000002000000}"/>
    <cellStyle name="Percent 2" xfId="6" xr:uid="{3523383B-6153-46CF-9B73-1D34D4B86689}"/>
    <cellStyle name="Percent 5" xfId="12" xr:uid="{B0F32451-4BE0-47A0-98C5-E49DF70D82B9}"/>
  </cellStyles>
  <dxfs count="84"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ulh\Desktop\UW%20Cross%20Creek%20Vil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Underwriting"/>
      <sheetName val="Rent-UnitMix"/>
      <sheetName val="Assumptions"/>
      <sheetName val="5 yr Proj"/>
      <sheetName val="Equity Return on Resale"/>
    </sheetNames>
    <sheetDataSet>
      <sheetData sheetId="0"/>
      <sheetData sheetId="1"/>
      <sheetData sheetId="2"/>
      <sheetData sheetId="3"/>
      <sheetData sheetId="4">
        <row r="31">
          <cell r="E31">
            <v>446896.44326642674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6"/>
  <sheetViews>
    <sheetView showGridLines="0" topLeftCell="B10" zoomScaleNormal="100" workbookViewId="0">
      <selection activeCell="H38" sqref="H38:M38"/>
    </sheetView>
  </sheetViews>
  <sheetFormatPr defaultRowHeight="13.2" x14ac:dyDescent="0.25"/>
  <cols>
    <col min="1" max="1" width="0.5546875" customWidth="1"/>
    <col min="2" max="2" width="16.77734375" customWidth="1"/>
    <col min="3" max="3" width="10.33203125" customWidth="1"/>
    <col min="4" max="4" width="12.109375" customWidth="1"/>
    <col min="5" max="5" width="10.6640625" customWidth="1"/>
    <col min="6" max="6" width="12.109375" customWidth="1"/>
    <col min="7" max="7" width="1.44140625" customWidth="1"/>
    <col min="8" max="8" width="9.77734375" customWidth="1"/>
    <col min="9" max="9" width="11.109375" customWidth="1"/>
    <col min="10" max="10" width="3.5546875" customWidth="1"/>
    <col min="11" max="11" width="18.109375" customWidth="1"/>
    <col min="12" max="12" width="13.109375" customWidth="1"/>
    <col min="13" max="13" width="12.88671875" customWidth="1"/>
    <col min="14" max="14" width="1.44140625" customWidth="1"/>
    <col min="15" max="15" width="0.88671875" customWidth="1"/>
    <col min="16" max="16" width="16" customWidth="1"/>
    <col min="17" max="17" width="7.88671875" customWidth="1"/>
    <col min="18" max="18" width="18.44140625" customWidth="1"/>
    <col min="19" max="19" width="18.33203125" customWidth="1"/>
    <col min="20" max="20" width="65.33203125" customWidth="1"/>
  </cols>
  <sheetData>
    <row r="1" spans="2:21" ht="6" customHeight="1" thickBot="1" x14ac:dyDescent="0.3"/>
    <row r="2" spans="2:21" ht="24.75" customHeight="1" thickBot="1" x14ac:dyDescent="0.4">
      <c r="B2" s="534" t="s">
        <v>105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  <c r="P2" s="518" t="s">
        <v>88</v>
      </c>
      <c r="Q2" s="519"/>
      <c r="R2" s="519"/>
      <c r="S2" s="519"/>
      <c r="T2" s="520"/>
      <c r="U2" s="16"/>
    </row>
    <row r="3" spans="2:21" ht="5.25" customHeight="1" thickBot="1" x14ac:dyDescent="0.3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P3" s="65"/>
      <c r="Q3" s="66"/>
      <c r="R3" s="66"/>
      <c r="S3" s="66"/>
      <c r="T3" s="67"/>
      <c r="U3" s="1"/>
    </row>
    <row r="4" spans="2:21" ht="15" customHeight="1" thickBot="1" x14ac:dyDescent="0.3">
      <c r="B4" s="421" t="s">
        <v>49</v>
      </c>
      <c r="C4" s="422"/>
      <c r="D4" s="423"/>
      <c r="E4" s="80" t="s">
        <v>68</v>
      </c>
      <c r="F4" s="185">
        <v>43854</v>
      </c>
      <c r="G4" s="149"/>
      <c r="H4" s="1"/>
      <c r="I4" s="1"/>
      <c r="J4" s="1"/>
      <c r="M4" s="150"/>
      <c r="P4" s="521" t="s">
        <v>71</v>
      </c>
      <c r="Q4" s="522"/>
      <c r="R4" s="522"/>
      <c r="S4" s="522"/>
      <c r="T4" s="523"/>
      <c r="U4" s="1"/>
    </row>
    <row r="5" spans="2:21" ht="15" customHeight="1" thickBot="1" x14ac:dyDescent="0.3">
      <c r="B5" s="71" t="s">
        <v>16</v>
      </c>
      <c r="C5" s="497" t="s">
        <v>232</v>
      </c>
      <c r="D5" s="498"/>
      <c r="E5" s="151"/>
      <c r="F5" s="152"/>
      <c r="G5" s="152"/>
      <c r="H5" s="152"/>
      <c r="I5" s="153"/>
      <c r="J5" s="74"/>
      <c r="K5" s="421" t="s">
        <v>51</v>
      </c>
      <c r="L5" s="422"/>
      <c r="M5" s="423"/>
      <c r="P5" s="524" t="s">
        <v>100</v>
      </c>
      <c r="Q5" s="525"/>
      <c r="R5" s="525"/>
      <c r="S5" s="525"/>
      <c r="T5" s="526"/>
      <c r="U5" s="1"/>
    </row>
    <row r="6" spans="2:21" ht="12.75" customHeight="1" x14ac:dyDescent="0.25">
      <c r="B6" s="436" t="s">
        <v>14</v>
      </c>
      <c r="C6" s="494"/>
      <c r="D6" s="23">
        <v>256</v>
      </c>
      <c r="E6" s="499" t="s">
        <v>76</v>
      </c>
      <c r="F6" s="500"/>
      <c r="G6" s="500"/>
      <c r="H6" s="501"/>
      <c r="I6" s="539" t="s">
        <v>74</v>
      </c>
      <c r="J6" s="74"/>
      <c r="K6" s="154" t="s">
        <v>50</v>
      </c>
      <c r="L6" s="155"/>
      <c r="M6" s="24">
        <v>2984460</v>
      </c>
      <c r="P6" s="524" t="s">
        <v>86</v>
      </c>
      <c r="Q6" s="525"/>
      <c r="R6" s="525"/>
      <c r="S6" s="525"/>
      <c r="T6" s="526"/>
      <c r="U6" s="19"/>
    </row>
    <row r="7" spans="2:21" ht="13.5" customHeight="1" thickBot="1" x14ac:dyDescent="0.3">
      <c r="B7" s="436" t="s">
        <v>15</v>
      </c>
      <c r="C7" s="437"/>
      <c r="D7" s="25">
        <v>26750000</v>
      </c>
      <c r="E7" s="502"/>
      <c r="F7" s="503"/>
      <c r="G7" s="503"/>
      <c r="H7" s="504"/>
      <c r="I7" s="540"/>
      <c r="J7" s="74"/>
      <c r="K7" s="156" t="s">
        <v>53</v>
      </c>
      <c r="L7" s="157"/>
      <c r="M7" s="94">
        <f>D13</f>
        <v>2037053</v>
      </c>
      <c r="P7" s="12" t="s">
        <v>87</v>
      </c>
      <c r="Q7" s="13"/>
      <c r="R7" s="13"/>
      <c r="S7" s="13"/>
      <c r="T7" s="14"/>
      <c r="U7" s="19"/>
    </row>
    <row r="8" spans="2:21" ht="13.8" thickBot="1" x14ac:dyDescent="0.3">
      <c r="B8" s="436" t="s">
        <v>38</v>
      </c>
      <c r="C8" s="437"/>
      <c r="D8" s="158">
        <f>D7/D6</f>
        <v>104492.1875</v>
      </c>
      <c r="E8" s="505" t="s">
        <v>72</v>
      </c>
      <c r="F8" s="506"/>
      <c r="G8" s="438">
        <v>26750000</v>
      </c>
      <c r="H8" s="439"/>
      <c r="I8" s="56">
        <f>G8/G10</f>
        <v>1</v>
      </c>
      <c r="J8" s="74"/>
      <c r="K8" s="101" t="s">
        <v>52</v>
      </c>
      <c r="L8" s="120"/>
      <c r="M8" s="159">
        <f>M6-M7</f>
        <v>947407</v>
      </c>
    </row>
    <row r="9" spans="2:21" ht="13.8" thickBot="1" x14ac:dyDescent="0.3">
      <c r="B9" s="436" t="s">
        <v>19</v>
      </c>
      <c r="C9" s="437"/>
      <c r="D9" s="26">
        <v>198964</v>
      </c>
      <c r="E9" s="472" t="s">
        <v>73</v>
      </c>
      <c r="F9" s="473"/>
      <c r="G9" s="543">
        <v>26750000</v>
      </c>
      <c r="H9" s="544"/>
      <c r="I9" s="52">
        <f>G9/G10</f>
        <v>1</v>
      </c>
      <c r="J9" s="74"/>
      <c r="K9" s="74"/>
      <c r="L9" s="160"/>
      <c r="M9" s="76"/>
    </row>
    <row r="10" spans="2:21" ht="13.8" thickBot="1" x14ac:dyDescent="0.3">
      <c r="B10" s="482" t="s">
        <v>25</v>
      </c>
      <c r="C10" s="483"/>
      <c r="D10" s="161">
        <f>D7/D9</f>
        <v>134.44643252045597</v>
      </c>
      <c r="E10" s="510" t="s">
        <v>75</v>
      </c>
      <c r="F10" s="511"/>
      <c r="G10" s="477">
        <v>26750000</v>
      </c>
      <c r="H10" s="478"/>
      <c r="I10" s="162" t="s">
        <v>77</v>
      </c>
      <c r="J10" s="74"/>
      <c r="K10" s="74"/>
      <c r="L10" s="74"/>
      <c r="M10" s="76"/>
      <c r="P10" s="527" t="s">
        <v>93</v>
      </c>
      <c r="Q10" s="528"/>
      <c r="R10" s="528"/>
      <c r="S10" s="528"/>
      <c r="T10" s="529"/>
    </row>
    <row r="11" spans="2:21" ht="5.25" customHeight="1" thickBot="1" x14ac:dyDescent="0.3">
      <c r="B11" s="72"/>
      <c r="C11" s="73"/>
      <c r="D11" s="74"/>
      <c r="E11" s="75"/>
      <c r="F11" s="74"/>
      <c r="G11" s="74"/>
      <c r="H11" s="74"/>
      <c r="I11" s="74"/>
      <c r="J11" s="74"/>
      <c r="K11" s="74"/>
      <c r="L11" s="74"/>
      <c r="M11" s="76"/>
      <c r="P11" s="530"/>
      <c r="Q11" s="531"/>
      <c r="R11" s="531"/>
      <c r="S11" s="531"/>
      <c r="T11" s="532"/>
    </row>
    <row r="12" spans="2:21" ht="14.4" thickBot="1" x14ac:dyDescent="0.3">
      <c r="B12" s="77" t="s">
        <v>21</v>
      </c>
      <c r="C12" s="78"/>
      <c r="D12" s="81" t="s">
        <v>82</v>
      </c>
      <c r="E12" s="80" t="s">
        <v>18</v>
      </c>
      <c r="F12" s="81" t="s">
        <v>54</v>
      </c>
      <c r="G12" s="422" t="s">
        <v>18</v>
      </c>
      <c r="H12" s="423"/>
      <c r="I12" s="80" t="s">
        <v>61</v>
      </c>
      <c r="J12" s="83"/>
      <c r="K12" s="421" t="s">
        <v>58</v>
      </c>
      <c r="L12" s="422"/>
      <c r="M12" s="423"/>
      <c r="P12" s="421" t="s">
        <v>64</v>
      </c>
      <c r="Q12" s="423"/>
      <c r="R12" s="20" t="s">
        <v>90</v>
      </c>
      <c r="S12" s="21" t="s">
        <v>65</v>
      </c>
      <c r="T12" s="22" t="s">
        <v>89</v>
      </c>
    </row>
    <row r="13" spans="2:21" ht="13.8" thickBot="1" x14ac:dyDescent="0.3">
      <c r="B13" s="469" t="s">
        <v>62</v>
      </c>
      <c r="C13" s="507"/>
      <c r="D13" s="28">
        <v>2037053</v>
      </c>
      <c r="E13" s="114">
        <f>D13/D6</f>
        <v>7957.23828125</v>
      </c>
      <c r="F13" s="29">
        <v>2037053</v>
      </c>
      <c r="G13" s="508">
        <f>F13/D6</f>
        <v>7957.23828125</v>
      </c>
      <c r="H13" s="509"/>
      <c r="I13" s="163">
        <f>D13/D13</f>
        <v>1</v>
      </c>
      <c r="J13" s="84"/>
      <c r="K13" s="516" t="s">
        <v>15</v>
      </c>
      <c r="L13" s="517"/>
      <c r="M13" s="87">
        <f>D7</f>
        <v>26750000</v>
      </c>
      <c r="P13" s="430" t="s">
        <v>2</v>
      </c>
      <c r="Q13" s="431"/>
      <c r="R13" s="8">
        <f t="shared" ref="R13:R19" si="0">E22</f>
        <v>691.8828125</v>
      </c>
      <c r="S13" s="2">
        <f t="shared" ref="S13:S19" si="1">G22</f>
        <v>691.8828125</v>
      </c>
      <c r="T13" s="15" t="s">
        <v>81</v>
      </c>
    </row>
    <row r="14" spans="2:21" ht="13.8" thickBot="1" x14ac:dyDescent="0.3">
      <c r="B14" s="88" t="s">
        <v>104</v>
      </c>
      <c r="C14" s="186">
        <v>0.04</v>
      </c>
      <c r="D14" s="187">
        <f>C14*D13</f>
        <v>81482.12</v>
      </c>
      <c r="E14" s="89">
        <f>D14/D6</f>
        <v>318.28953124999998</v>
      </c>
      <c r="F14" s="30">
        <v>81482</v>
      </c>
      <c r="G14" s="442">
        <f>F14/D6</f>
        <v>318.2890625</v>
      </c>
      <c r="H14" s="443"/>
      <c r="I14" s="165">
        <f>D14/D13</f>
        <v>0.04</v>
      </c>
      <c r="J14" s="84"/>
      <c r="K14" s="88" t="s">
        <v>30</v>
      </c>
      <c r="L14" s="164"/>
      <c r="M14" s="31">
        <v>0.2</v>
      </c>
      <c r="P14" s="426" t="s">
        <v>3</v>
      </c>
      <c r="Q14" s="427"/>
      <c r="R14" s="9">
        <f t="shared" si="0"/>
        <v>873.8125</v>
      </c>
      <c r="S14" s="5">
        <f t="shared" si="1"/>
        <v>873.8125</v>
      </c>
      <c r="T14" s="3" t="s">
        <v>41</v>
      </c>
    </row>
    <row r="15" spans="2:21" ht="13.8" thickBot="1" x14ac:dyDescent="0.3">
      <c r="B15" s="479" t="s">
        <v>69</v>
      </c>
      <c r="C15" s="481"/>
      <c r="D15" s="32">
        <v>0</v>
      </c>
      <c r="E15" s="89">
        <f>D15/D6</f>
        <v>0</v>
      </c>
      <c r="F15" s="33">
        <v>0</v>
      </c>
      <c r="G15" s="442">
        <f>F15/D6</f>
        <v>0</v>
      </c>
      <c r="H15" s="443"/>
      <c r="I15" s="165">
        <f>D15/D13</f>
        <v>0</v>
      </c>
      <c r="J15" s="84"/>
      <c r="K15" s="461" t="s">
        <v>17</v>
      </c>
      <c r="L15" s="462"/>
      <c r="M15" s="53">
        <f>M13*M14</f>
        <v>5350000</v>
      </c>
      <c r="P15" s="426" t="s">
        <v>4</v>
      </c>
      <c r="Q15" s="427"/>
      <c r="R15" s="9">
        <f t="shared" si="0"/>
        <v>2744.9609375</v>
      </c>
      <c r="S15" s="5">
        <f t="shared" si="1"/>
        <v>2744.9609375</v>
      </c>
      <c r="T15" s="4" t="s">
        <v>43</v>
      </c>
    </row>
    <row r="16" spans="2:21" ht="13.8" thickTop="1" x14ac:dyDescent="0.25">
      <c r="B16" s="440" t="s">
        <v>39</v>
      </c>
      <c r="C16" s="441"/>
      <c r="D16" s="96">
        <f>D13-D14-D15</f>
        <v>1955570.88</v>
      </c>
      <c r="E16" s="183">
        <f>D16/D6</f>
        <v>7638.9487499999996</v>
      </c>
      <c r="F16" s="96">
        <f>F13-F14-F15</f>
        <v>1955571</v>
      </c>
      <c r="G16" s="459">
        <f>F16/D6</f>
        <v>7638.94921875</v>
      </c>
      <c r="H16" s="460"/>
      <c r="I16" s="165">
        <f>D16/D13</f>
        <v>0.96</v>
      </c>
      <c r="J16" s="84"/>
      <c r="K16" s="474" t="s">
        <v>31</v>
      </c>
      <c r="L16" s="489"/>
      <c r="M16" s="53">
        <f>M13-M15</f>
        <v>21400000</v>
      </c>
      <c r="P16" s="426" t="s">
        <v>5</v>
      </c>
      <c r="Q16" s="427"/>
      <c r="R16" s="9">
        <f t="shared" si="0"/>
        <v>134.90234375</v>
      </c>
      <c r="S16" s="5">
        <f t="shared" si="1"/>
        <v>134.90234375</v>
      </c>
      <c r="T16" s="3" t="s">
        <v>42</v>
      </c>
    </row>
    <row r="17" spans="2:20" x14ac:dyDescent="0.25">
      <c r="B17" s="98" t="s">
        <v>1</v>
      </c>
      <c r="C17" s="99"/>
      <c r="D17" s="27">
        <v>0</v>
      </c>
      <c r="E17" s="89">
        <f>D17/D6</f>
        <v>0</v>
      </c>
      <c r="F17" s="30">
        <v>0</v>
      </c>
      <c r="G17" s="442">
        <f>F17/D6</f>
        <v>0</v>
      </c>
      <c r="H17" s="443"/>
      <c r="I17" s="165">
        <f>D17/D13</f>
        <v>0</v>
      </c>
      <c r="J17" s="84"/>
      <c r="K17" s="474" t="s">
        <v>57</v>
      </c>
      <c r="L17" s="489"/>
      <c r="M17" s="34">
        <v>0.05</v>
      </c>
      <c r="P17" s="426" t="s">
        <v>29</v>
      </c>
      <c r="Q17" s="427"/>
      <c r="R17" s="9">
        <f t="shared" si="0"/>
        <v>233.20955624999999</v>
      </c>
      <c r="S17" s="5">
        <f t="shared" si="1"/>
        <v>233.2109375</v>
      </c>
      <c r="T17" s="3" t="s">
        <v>44</v>
      </c>
    </row>
    <row r="18" spans="2:20" ht="13.8" thickBot="1" x14ac:dyDescent="0.3">
      <c r="B18" s="479" t="s">
        <v>0</v>
      </c>
      <c r="C18" s="480"/>
      <c r="D18" s="32">
        <v>34484</v>
      </c>
      <c r="E18" s="93">
        <f>D18/D6</f>
        <v>134.703125</v>
      </c>
      <c r="F18" s="33">
        <v>34484</v>
      </c>
      <c r="G18" s="545">
        <f>F18/D6</f>
        <v>134.703125</v>
      </c>
      <c r="H18" s="546"/>
      <c r="I18" s="166">
        <f>D18/D13</f>
        <v>1.6928376433995581E-2</v>
      </c>
      <c r="J18" s="84"/>
      <c r="K18" s="537" t="s">
        <v>91</v>
      </c>
      <c r="L18" s="538"/>
      <c r="M18" s="35">
        <v>360</v>
      </c>
      <c r="P18" s="426" t="s">
        <v>6</v>
      </c>
      <c r="Q18" s="427"/>
      <c r="R18" s="9">
        <f t="shared" si="0"/>
        <v>8.03125</v>
      </c>
      <c r="S18" s="5">
        <f t="shared" si="1"/>
        <v>8.03125</v>
      </c>
      <c r="T18" s="3" t="s">
        <v>45</v>
      </c>
    </row>
    <row r="19" spans="2:20" ht="14.25" customHeight="1" thickTop="1" thickBot="1" x14ac:dyDescent="0.3">
      <c r="B19" s="101" t="s">
        <v>20</v>
      </c>
      <c r="C19" s="102"/>
      <c r="D19" s="104">
        <f>D16+D17+D18</f>
        <v>1990054.88</v>
      </c>
      <c r="E19" s="103">
        <f>D19/D6</f>
        <v>7773.6518749999996</v>
      </c>
      <c r="F19" s="104">
        <f>F16+F17+F18</f>
        <v>1990055</v>
      </c>
      <c r="G19" s="455">
        <f>F19/D6</f>
        <v>7773.65234375</v>
      </c>
      <c r="H19" s="456"/>
      <c r="I19" s="168">
        <f>D19/D13</f>
        <v>0.97692837643399555</v>
      </c>
      <c r="J19" s="84"/>
      <c r="K19" s="106" t="s">
        <v>28</v>
      </c>
      <c r="L19" s="107"/>
      <c r="M19" s="108">
        <f>PMT((M17/12),(12*M18),-M16)*12</f>
        <v>1070000.0169170275</v>
      </c>
      <c r="P19" s="432" t="s">
        <v>7</v>
      </c>
      <c r="Q19" s="433"/>
      <c r="R19" s="492">
        <f t="shared" si="0"/>
        <v>746.73828125</v>
      </c>
      <c r="S19" s="418">
        <f t="shared" si="1"/>
        <v>746.73828125</v>
      </c>
      <c r="T19" s="424" t="s">
        <v>46</v>
      </c>
    </row>
    <row r="20" spans="2:20" ht="5.55" customHeight="1" thickBot="1" x14ac:dyDescent="0.3">
      <c r="B20" s="109"/>
      <c r="C20" s="74"/>
      <c r="D20" s="110"/>
      <c r="E20" s="111"/>
      <c r="F20" s="112"/>
      <c r="G20" s="471"/>
      <c r="H20" s="471"/>
      <c r="I20" s="74"/>
      <c r="J20" s="74"/>
      <c r="K20" s="74"/>
      <c r="L20" s="74"/>
      <c r="M20" s="76"/>
      <c r="P20" s="434"/>
      <c r="Q20" s="435"/>
      <c r="R20" s="493"/>
      <c r="S20" s="419"/>
      <c r="T20" s="425"/>
    </row>
    <row r="21" spans="2:20" ht="14.4" thickBot="1" x14ac:dyDescent="0.3">
      <c r="B21" s="77" t="s">
        <v>22</v>
      </c>
      <c r="C21" s="113"/>
      <c r="D21" s="81" t="s">
        <v>82</v>
      </c>
      <c r="E21" s="80" t="s">
        <v>18</v>
      </c>
      <c r="F21" s="81" t="s">
        <v>54</v>
      </c>
      <c r="G21" s="422" t="s">
        <v>18</v>
      </c>
      <c r="H21" s="423"/>
      <c r="I21" s="80" t="s">
        <v>60</v>
      </c>
      <c r="J21" s="83"/>
      <c r="K21" s="421" t="s">
        <v>59</v>
      </c>
      <c r="L21" s="422"/>
      <c r="M21" s="423"/>
      <c r="N21" s="1"/>
      <c r="O21" s="1"/>
      <c r="P21" s="426" t="s">
        <v>8</v>
      </c>
      <c r="Q21" s="427"/>
      <c r="R21" s="10">
        <f>E29</f>
        <v>442.0546875</v>
      </c>
      <c r="S21" s="11">
        <f>G29</f>
        <v>442.0546875</v>
      </c>
      <c r="T21" s="3" t="s">
        <v>47</v>
      </c>
    </row>
    <row r="22" spans="2:20" ht="13.8" thickBot="1" x14ac:dyDescent="0.3">
      <c r="B22" s="469" t="s">
        <v>2</v>
      </c>
      <c r="C22" s="470"/>
      <c r="D22" s="28">
        <v>177122</v>
      </c>
      <c r="E22" s="114">
        <f>D22/D6</f>
        <v>691.8828125</v>
      </c>
      <c r="F22" s="29">
        <v>177122</v>
      </c>
      <c r="G22" s="444">
        <f>F22/D6</f>
        <v>691.8828125</v>
      </c>
      <c r="H22" s="445"/>
      <c r="I22" s="163">
        <f>D22/D13</f>
        <v>8.6950118627252215E-2</v>
      </c>
      <c r="J22" s="84"/>
      <c r="K22" s="154" t="s">
        <v>78</v>
      </c>
      <c r="L22" s="36">
        <v>0.01</v>
      </c>
      <c r="M22" s="87">
        <f>L22*M13</f>
        <v>267500</v>
      </c>
      <c r="P22" s="428" t="s">
        <v>9</v>
      </c>
      <c r="Q22" s="429"/>
      <c r="R22" s="189">
        <f>E30</f>
        <v>1051.42578125</v>
      </c>
      <c r="S22" s="190">
        <f>G30</f>
        <v>1051.42578125</v>
      </c>
      <c r="T22" s="191" t="s">
        <v>48</v>
      </c>
    </row>
    <row r="23" spans="2:20" x14ac:dyDescent="0.25">
      <c r="B23" s="474" t="s">
        <v>3</v>
      </c>
      <c r="C23" s="475"/>
      <c r="D23" s="27">
        <v>223696</v>
      </c>
      <c r="E23" s="89">
        <f>D23/D6</f>
        <v>873.8125</v>
      </c>
      <c r="F23" s="30">
        <v>223696</v>
      </c>
      <c r="G23" s="446">
        <f>F23/D6</f>
        <v>873.8125</v>
      </c>
      <c r="H23" s="447"/>
      <c r="I23" s="165">
        <f>D23/D13</f>
        <v>0.10981353946117259</v>
      </c>
      <c r="J23" s="84"/>
      <c r="K23" s="88" t="s">
        <v>32</v>
      </c>
      <c r="L23" s="169"/>
      <c r="M23" s="37">
        <v>0.01</v>
      </c>
      <c r="P23" s="420" t="s">
        <v>10</v>
      </c>
      <c r="Q23" s="420"/>
      <c r="R23" s="192">
        <f>D34</f>
        <v>76800</v>
      </c>
      <c r="S23" s="193">
        <f>F34</f>
        <v>76800</v>
      </c>
      <c r="T23" s="194" t="s">
        <v>107</v>
      </c>
    </row>
    <row r="24" spans="2:20" ht="13.8" thickBot="1" x14ac:dyDescent="0.3">
      <c r="B24" s="115" t="s">
        <v>4</v>
      </c>
      <c r="C24" s="99"/>
      <c r="D24" s="27">
        <v>702710</v>
      </c>
      <c r="E24" s="116">
        <f>D24/D6</f>
        <v>2744.9609375</v>
      </c>
      <c r="F24" s="30">
        <v>702710</v>
      </c>
      <c r="G24" s="446">
        <f>F24/D6</f>
        <v>2744.9609375</v>
      </c>
      <c r="H24" s="447"/>
      <c r="I24" s="165">
        <f>D24/D13</f>
        <v>0.34496402400919368</v>
      </c>
      <c r="J24" s="84"/>
      <c r="K24" s="98" t="s">
        <v>33</v>
      </c>
      <c r="L24" s="145"/>
      <c r="M24" s="53">
        <f>M23*M16</f>
        <v>214000</v>
      </c>
    </row>
    <row r="25" spans="2:20" ht="13.8" thickBot="1" x14ac:dyDescent="0.3">
      <c r="B25" s="474" t="s">
        <v>5</v>
      </c>
      <c r="C25" s="476"/>
      <c r="D25" s="27">
        <v>34535</v>
      </c>
      <c r="E25" s="116">
        <f>D25/D6</f>
        <v>134.90234375</v>
      </c>
      <c r="F25" s="30">
        <v>34535</v>
      </c>
      <c r="G25" s="446">
        <f>F25/D6</f>
        <v>134.90234375</v>
      </c>
      <c r="H25" s="447"/>
      <c r="I25" s="165">
        <f>D25/D13</f>
        <v>1.6953412601439434E-2</v>
      </c>
      <c r="J25" s="84"/>
      <c r="K25" s="170" t="s">
        <v>84</v>
      </c>
      <c r="L25" s="36">
        <v>0</v>
      </c>
      <c r="M25" s="53">
        <f>L25*M13</f>
        <v>0</v>
      </c>
    </row>
    <row r="26" spans="2:20" ht="14.4" thickBot="1" x14ac:dyDescent="0.3">
      <c r="B26" s="98" t="s">
        <v>37</v>
      </c>
      <c r="C26" s="36">
        <v>0.03</v>
      </c>
      <c r="D26" s="171">
        <f>D19*C26</f>
        <v>59701.646399999998</v>
      </c>
      <c r="E26" s="89">
        <f>D26/D6</f>
        <v>233.20955624999999</v>
      </c>
      <c r="F26" s="30">
        <v>59702</v>
      </c>
      <c r="G26" s="446">
        <f>F26/D6</f>
        <v>233.2109375</v>
      </c>
      <c r="H26" s="447"/>
      <c r="I26" s="165">
        <f>D26/D13</f>
        <v>2.9307851293019865E-2</v>
      </c>
      <c r="J26" s="84"/>
      <c r="K26" s="457" t="s">
        <v>35</v>
      </c>
      <c r="L26" s="458"/>
      <c r="M26" s="38">
        <v>0</v>
      </c>
      <c r="P26" s="421" t="s">
        <v>79</v>
      </c>
      <c r="Q26" s="422"/>
      <c r="R26" s="423"/>
    </row>
    <row r="27" spans="2:20" ht="13.8" thickBot="1" x14ac:dyDescent="0.3">
      <c r="B27" s="474" t="s">
        <v>6</v>
      </c>
      <c r="C27" s="470"/>
      <c r="D27" s="27">
        <v>2056</v>
      </c>
      <c r="E27" s="89">
        <f>D27/D6</f>
        <v>8.03125</v>
      </c>
      <c r="F27" s="30">
        <v>2056</v>
      </c>
      <c r="G27" s="446">
        <f>F27/D6</f>
        <v>8.03125</v>
      </c>
      <c r="H27" s="447"/>
      <c r="I27" s="165">
        <f>D27/D13</f>
        <v>1.0093011816580128E-3</v>
      </c>
      <c r="J27" s="84"/>
      <c r="K27" s="135" t="s">
        <v>34</v>
      </c>
      <c r="L27" s="136"/>
      <c r="M27" s="172">
        <f>M22+M24+M25+M26</f>
        <v>481500</v>
      </c>
      <c r="P27" s="42"/>
      <c r="Q27" s="490" t="s">
        <v>80</v>
      </c>
      <c r="R27" s="491"/>
    </row>
    <row r="28" spans="2:20" ht="13.8" thickBot="1" x14ac:dyDescent="0.3">
      <c r="B28" s="474" t="s">
        <v>7</v>
      </c>
      <c r="C28" s="475"/>
      <c r="D28" s="27">
        <v>191165</v>
      </c>
      <c r="E28" s="89">
        <f>D28/D6</f>
        <v>746.73828125</v>
      </c>
      <c r="F28" s="30">
        <v>191165</v>
      </c>
      <c r="G28" s="446">
        <f>F28/D6</f>
        <v>746.73828125</v>
      </c>
      <c r="H28" s="447"/>
      <c r="I28" s="165">
        <f>D28/D13</f>
        <v>9.384390096870332E-2</v>
      </c>
      <c r="J28" s="84"/>
      <c r="K28" s="146"/>
      <c r="L28" s="147"/>
      <c r="M28" s="122"/>
      <c r="P28" s="43"/>
      <c r="Q28" s="490" t="s">
        <v>94</v>
      </c>
      <c r="R28" s="491"/>
    </row>
    <row r="29" spans="2:20" ht="13.8" thickBot="1" x14ac:dyDescent="0.3">
      <c r="B29" s="474" t="s">
        <v>8</v>
      </c>
      <c r="C29" s="475"/>
      <c r="D29" s="27">
        <v>113166</v>
      </c>
      <c r="E29" s="89">
        <f>D29/D6</f>
        <v>442.0546875</v>
      </c>
      <c r="F29" s="30">
        <v>113166</v>
      </c>
      <c r="G29" s="446">
        <f>F29/D6</f>
        <v>442.0546875</v>
      </c>
      <c r="H29" s="447"/>
      <c r="I29" s="165">
        <f>D29/D13</f>
        <v>5.5553782842174458E-2</v>
      </c>
      <c r="J29" s="84"/>
      <c r="K29" s="106" t="s">
        <v>36</v>
      </c>
      <c r="L29" s="107"/>
      <c r="M29" s="122">
        <f>M27+M15-M32</f>
        <v>5831500</v>
      </c>
      <c r="P29" s="44"/>
      <c r="Q29" s="490" t="s">
        <v>92</v>
      </c>
      <c r="R29" s="491"/>
    </row>
    <row r="30" spans="2:20" ht="13.8" thickBot="1" x14ac:dyDescent="0.3">
      <c r="B30" s="479" t="s">
        <v>9</v>
      </c>
      <c r="C30" s="480"/>
      <c r="D30" s="32">
        <v>269165</v>
      </c>
      <c r="E30" s="93">
        <f>D30/D6</f>
        <v>1051.42578125</v>
      </c>
      <c r="F30" s="33">
        <v>269165</v>
      </c>
      <c r="G30" s="547">
        <f>F30/D6</f>
        <v>1051.42578125</v>
      </c>
      <c r="H30" s="548"/>
      <c r="I30" s="166">
        <f>D30/D13</f>
        <v>0.13213451000047619</v>
      </c>
      <c r="J30" s="84"/>
      <c r="K30" s="74"/>
      <c r="L30" s="74"/>
      <c r="M30" s="74"/>
      <c r="S30" s="7"/>
    </row>
    <row r="31" spans="2:20" ht="15" thickTop="1" thickBot="1" x14ac:dyDescent="0.3">
      <c r="B31" s="101" t="s">
        <v>11</v>
      </c>
      <c r="C31" s="124"/>
      <c r="D31" s="104">
        <f>SUM(D22:D30)</f>
        <v>1773316.6464</v>
      </c>
      <c r="E31" s="125">
        <f>D31/D6</f>
        <v>6927.0181499999999</v>
      </c>
      <c r="F31" s="104">
        <f>SUM(F22:F30)</f>
        <v>1773317</v>
      </c>
      <c r="G31" s="455">
        <f>F31/D6</f>
        <v>6927.01953125</v>
      </c>
      <c r="H31" s="456"/>
      <c r="I31" s="168">
        <f>D31/D13</f>
        <v>0.87053044098508969</v>
      </c>
      <c r="J31" s="84"/>
      <c r="K31" s="421" t="s">
        <v>67</v>
      </c>
      <c r="L31" s="422"/>
      <c r="M31" s="423"/>
      <c r="S31" s="7"/>
    </row>
    <row r="32" spans="2:20" ht="13.35" customHeight="1" x14ac:dyDescent="0.25">
      <c r="B32" s="512" t="s">
        <v>12</v>
      </c>
      <c r="C32" s="513"/>
      <c r="D32" s="541">
        <f>D19-D31</f>
        <v>216738.23359999992</v>
      </c>
      <c r="E32" s="173"/>
      <c r="F32" s="541">
        <f>F19-F31</f>
        <v>216738</v>
      </c>
      <c r="G32" s="74"/>
      <c r="H32" s="74"/>
      <c r="I32" s="74"/>
      <c r="J32" s="74"/>
      <c r="K32" s="85" t="s">
        <v>31</v>
      </c>
      <c r="L32" s="86"/>
      <c r="M32" s="39">
        <v>0</v>
      </c>
      <c r="S32" s="7"/>
    </row>
    <row r="33" spans="2:19" ht="13.5" customHeight="1" thickBot="1" x14ac:dyDescent="0.3">
      <c r="B33" s="514"/>
      <c r="C33" s="515"/>
      <c r="D33" s="542"/>
      <c r="E33" s="74"/>
      <c r="F33" s="542"/>
      <c r="G33" s="73"/>
      <c r="H33" s="73"/>
      <c r="I33" s="73"/>
      <c r="J33" s="73"/>
      <c r="K33" s="91" t="s">
        <v>57</v>
      </c>
      <c r="L33" s="100"/>
      <c r="M33" s="34">
        <v>0</v>
      </c>
      <c r="S33" s="7"/>
    </row>
    <row r="34" spans="2:19" ht="13.8" thickBot="1" x14ac:dyDescent="0.3">
      <c r="B34" s="495" t="s">
        <v>10</v>
      </c>
      <c r="C34" s="496"/>
      <c r="D34" s="129">
        <f>D6*E34</f>
        <v>76800</v>
      </c>
      <c r="E34" s="40">
        <v>300</v>
      </c>
      <c r="F34" s="129">
        <f>D6*E34</f>
        <v>76800</v>
      </c>
      <c r="G34" s="73"/>
      <c r="H34" s="73"/>
      <c r="I34" s="73"/>
      <c r="J34" s="73"/>
      <c r="K34" s="436" t="s">
        <v>63</v>
      </c>
      <c r="L34" s="533"/>
      <c r="M34" s="35">
        <v>250</v>
      </c>
      <c r="S34" s="7"/>
    </row>
    <row r="35" spans="2:19" ht="13.5" customHeight="1" thickTop="1" thickBot="1" x14ac:dyDescent="0.3">
      <c r="B35" s="130" t="s">
        <v>103</v>
      </c>
      <c r="C35" s="174"/>
      <c r="D35" s="133">
        <f>D32-D34</f>
        <v>139938.23359999992</v>
      </c>
      <c r="E35" s="74"/>
      <c r="F35" s="133">
        <f>F32-F34</f>
        <v>139938</v>
      </c>
      <c r="G35" s="73"/>
      <c r="H35" s="134"/>
      <c r="I35" s="134"/>
      <c r="J35" s="134"/>
      <c r="K35" s="106" t="s">
        <v>28</v>
      </c>
      <c r="L35" s="107"/>
      <c r="M35" s="108">
        <f>PMT((M33/12),(12*M34),-M32)*12</f>
        <v>0</v>
      </c>
      <c r="S35" s="7"/>
    </row>
    <row r="36" spans="2:19" ht="13.5" customHeight="1" thickBot="1" x14ac:dyDescent="0.3">
      <c r="B36" s="484" t="s">
        <v>40</v>
      </c>
      <c r="C36" s="485"/>
      <c r="D36" s="132">
        <f>M19</f>
        <v>1070000.0169170275</v>
      </c>
      <c r="E36" s="74"/>
      <c r="F36" s="132">
        <f>M19</f>
        <v>1070000.0169170275</v>
      </c>
      <c r="G36" s="139"/>
      <c r="H36" s="73"/>
      <c r="I36" s="73"/>
      <c r="J36" s="73"/>
      <c r="K36" s="74"/>
      <c r="L36" s="74"/>
      <c r="M36" s="74"/>
      <c r="S36" s="7"/>
    </row>
    <row r="37" spans="2:19" ht="15" customHeight="1" thickBot="1" x14ac:dyDescent="0.3">
      <c r="B37" s="450" t="s">
        <v>27</v>
      </c>
      <c r="C37" s="451"/>
      <c r="D37" s="137">
        <f>M35</f>
        <v>0</v>
      </c>
      <c r="E37" s="74"/>
      <c r="F37" s="137">
        <f>M35</f>
        <v>0</v>
      </c>
      <c r="G37" s="139"/>
      <c r="H37" s="466" t="s">
        <v>85</v>
      </c>
      <c r="I37" s="467"/>
      <c r="J37" s="467"/>
      <c r="K37" s="467"/>
      <c r="L37" s="467"/>
      <c r="M37" s="468"/>
      <c r="S37" s="7"/>
    </row>
    <row r="38" spans="2:19" ht="12.75" customHeight="1" x14ac:dyDescent="0.25">
      <c r="B38" s="484" t="s">
        <v>26</v>
      </c>
      <c r="C38" s="485"/>
      <c r="D38" s="132">
        <f>(D35-D36-D37)</f>
        <v>-930061.78331702761</v>
      </c>
      <c r="E38" s="74"/>
      <c r="F38" s="132">
        <f>(F35-F36-F37)</f>
        <v>-930062.01691702753</v>
      </c>
      <c r="G38" s="73"/>
      <c r="H38" s="486"/>
      <c r="I38" s="487"/>
      <c r="J38" s="487"/>
      <c r="K38" s="487"/>
      <c r="L38" s="487"/>
      <c r="M38" s="488"/>
    </row>
    <row r="39" spans="2:19" ht="13.8" customHeight="1" x14ac:dyDescent="0.25">
      <c r="B39" s="450" t="s">
        <v>23</v>
      </c>
      <c r="C39" s="451"/>
      <c r="D39" s="141">
        <f>D38/M29</f>
        <v>-0.15948928805916618</v>
      </c>
      <c r="E39" s="74"/>
      <c r="F39" s="141">
        <f>F38/M29</f>
        <v>-0.15948932811747021</v>
      </c>
      <c r="G39" s="139"/>
      <c r="H39" s="452"/>
      <c r="I39" s="453"/>
      <c r="J39" s="453"/>
      <c r="K39" s="453"/>
      <c r="L39" s="453"/>
      <c r="M39" s="454"/>
    </row>
    <row r="40" spans="2:19" ht="13.5" customHeight="1" x14ac:dyDescent="0.25">
      <c r="B40" s="450" t="s">
        <v>24</v>
      </c>
      <c r="C40" s="451"/>
      <c r="D40" s="175">
        <f>D35/(D36+D37)</f>
        <v>0.13078339382012491</v>
      </c>
      <c r="E40" s="74"/>
      <c r="F40" s="175">
        <f>F35/(F36+F37)</f>
        <v>0.13078317550237142</v>
      </c>
      <c r="G40" s="83">
        <v>1</v>
      </c>
      <c r="H40" s="452"/>
      <c r="I40" s="453"/>
      <c r="J40" s="453"/>
      <c r="K40" s="453"/>
      <c r="L40" s="453"/>
      <c r="M40" s="454"/>
    </row>
    <row r="41" spans="2:19" ht="13.8" thickBot="1" x14ac:dyDescent="0.3">
      <c r="B41" s="450" t="s">
        <v>13</v>
      </c>
      <c r="C41" s="451"/>
      <c r="D41" s="141">
        <f>D32/D7</f>
        <v>8.1023638728971933E-3</v>
      </c>
      <c r="E41" s="74"/>
      <c r="F41" s="141">
        <f>F32/D7</f>
        <v>8.1023551401869162E-3</v>
      </c>
      <c r="G41" s="83">
        <v>2</v>
      </c>
      <c r="H41" s="452"/>
      <c r="I41" s="453"/>
      <c r="J41" s="453"/>
      <c r="K41" s="453"/>
      <c r="L41" s="453"/>
      <c r="M41" s="454"/>
    </row>
    <row r="42" spans="2:19" ht="12.75" customHeight="1" thickBot="1" x14ac:dyDescent="0.3">
      <c r="B42" s="450" t="s">
        <v>95</v>
      </c>
      <c r="C42" s="451"/>
      <c r="D42" s="132">
        <f>D38*E42</f>
        <v>0</v>
      </c>
      <c r="E42" s="41">
        <v>0</v>
      </c>
      <c r="F42" s="132">
        <f>F38*E42</f>
        <v>0</v>
      </c>
      <c r="G42" s="144">
        <v>0.03</v>
      </c>
      <c r="H42" s="452"/>
      <c r="I42" s="453"/>
      <c r="J42" s="453"/>
      <c r="K42" s="453"/>
      <c r="L42" s="453"/>
      <c r="M42" s="454"/>
    </row>
    <row r="43" spans="2:19" x14ac:dyDescent="0.25">
      <c r="B43" s="450" t="s">
        <v>55</v>
      </c>
      <c r="C43" s="451"/>
      <c r="D43" s="132">
        <f>D38-D42</f>
        <v>-930061.78331702761</v>
      </c>
      <c r="E43" s="74"/>
      <c r="F43" s="132">
        <f>F38-F42</f>
        <v>-930062.01691702753</v>
      </c>
      <c r="G43" s="83"/>
      <c r="H43" s="452"/>
      <c r="I43" s="453"/>
      <c r="J43" s="453"/>
      <c r="K43" s="453"/>
      <c r="L43" s="453"/>
      <c r="M43" s="454"/>
    </row>
    <row r="44" spans="2:19" ht="12.75" customHeight="1" thickBot="1" x14ac:dyDescent="0.3">
      <c r="B44" s="448" t="s">
        <v>56</v>
      </c>
      <c r="C44" s="449"/>
      <c r="D44" s="148">
        <f>D43/M29</f>
        <v>-0.15948928805916618</v>
      </c>
      <c r="E44" s="102"/>
      <c r="F44" s="148">
        <f>F43/M29</f>
        <v>-0.15948932811747021</v>
      </c>
      <c r="G44" s="83"/>
      <c r="H44" s="463"/>
      <c r="I44" s="464"/>
      <c r="J44" s="464"/>
      <c r="K44" s="464"/>
      <c r="L44" s="464"/>
      <c r="M44" s="465"/>
      <c r="S44" s="64" t="s">
        <v>70</v>
      </c>
    </row>
    <row r="45" spans="2:19" ht="15" customHeight="1" x14ac:dyDescent="0.25">
      <c r="F45" s="6" t="s">
        <v>70</v>
      </c>
    </row>
    <row r="46" spans="2:19" ht="15.6" customHeight="1" x14ac:dyDescent="0.25">
      <c r="B46" s="1"/>
    </row>
  </sheetData>
  <sheetProtection password="9D59" sheet="1" selectLockedCells="1"/>
  <mergeCells count="102">
    <mergeCell ref="P2:T2"/>
    <mergeCell ref="P4:T4"/>
    <mergeCell ref="P5:T5"/>
    <mergeCell ref="P6:T6"/>
    <mergeCell ref="P10:T11"/>
    <mergeCell ref="H41:M41"/>
    <mergeCell ref="H42:M42"/>
    <mergeCell ref="G24:H24"/>
    <mergeCell ref="G25:H25"/>
    <mergeCell ref="K34:L34"/>
    <mergeCell ref="H40:M40"/>
    <mergeCell ref="G28:H28"/>
    <mergeCell ref="B2:M2"/>
    <mergeCell ref="K18:L18"/>
    <mergeCell ref="K12:M12"/>
    <mergeCell ref="K16:L16"/>
    <mergeCell ref="I6:I7"/>
    <mergeCell ref="B4:D4"/>
    <mergeCell ref="D32:D33"/>
    <mergeCell ref="F32:F33"/>
    <mergeCell ref="G9:H9"/>
    <mergeCell ref="G18:H18"/>
    <mergeCell ref="G27:H27"/>
    <mergeCell ref="G30:H30"/>
    <mergeCell ref="K5:M5"/>
    <mergeCell ref="G29:H29"/>
    <mergeCell ref="Q27:R27"/>
    <mergeCell ref="Q28:R28"/>
    <mergeCell ref="Q29:R29"/>
    <mergeCell ref="R19:R20"/>
    <mergeCell ref="B6:C6"/>
    <mergeCell ref="B37:C37"/>
    <mergeCell ref="B36:C36"/>
    <mergeCell ref="B34:C34"/>
    <mergeCell ref="G19:H19"/>
    <mergeCell ref="G23:H23"/>
    <mergeCell ref="B30:C30"/>
    <mergeCell ref="C5:D5"/>
    <mergeCell ref="E6:H7"/>
    <mergeCell ref="E8:F8"/>
    <mergeCell ref="B13:C13"/>
    <mergeCell ref="G13:H13"/>
    <mergeCell ref="B8:C8"/>
    <mergeCell ref="B9:C9"/>
    <mergeCell ref="E10:F10"/>
    <mergeCell ref="B32:C33"/>
    <mergeCell ref="K13:L13"/>
    <mergeCell ref="K21:M21"/>
    <mergeCell ref="G20:H20"/>
    <mergeCell ref="E9:F9"/>
    <mergeCell ref="B23:C23"/>
    <mergeCell ref="B25:C25"/>
    <mergeCell ref="G12:H12"/>
    <mergeCell ref="H43:M43"/>
    <mergeCell ref="G10:H10"/>
    <mergeCell ref="B18:C18"/>
    <mergeCell ref="B15:C15"/>
    <mergeCell ref="B10:C10"/>
    <mergeCell ref="B38:C38"/>
    <mergeCell ref="H38:M38"/>
    <mergeCell ref="K17:L17"/>
    <mergeCell ref="B27:C27"/>
    <mergeCell ref="B29:C29"/>
    <mergeCell ref="B28:C28"/>
    <mergeCell ref="B7:C7"/>
    <mergeCell ref="G8:H8"/>
    <mergeCell ref="B16:C16"/>
    <mergeCell ref="G17:H17"/>
    <mergeCell ref="G22:H22"/>
    <mergeCell ref="G26:H26"/>
    <mergeCell ref="B44:C44"/>
    <mergeCell ref="B43:C43"/>
    <mergeCell ref="B42:C42"/>
    <mergeCell ref="B41:C41"/>
    <mergeCell ref="B40:C40"/>
    <mergeCell ref="G14:H14"/>
    <mergeCell ref="G21:H21"/>
    <mergeCell ref="B39:C39"/>
    <mergeCell ref="H39:M39"/>
    <mergeCell ref="G31:H31"/>
    <mergeCell ref="K26:L26"/>
    <mergeCell ref="G15:H15"/>
    <mergeCell ref="G16:H16"/>
    <mergeCell ref="K15:L15"/>
    <mergeCell ref="H44:M44"/>
    <mergeCell ref="H37:M37"/>
    <mergeCell ref="K31:M31"/>
    <mergeCell ref="B22:C22"/>
    <mergeCell ref="S19:S20"/>
    <mergeCell ref="P23:Q23"/>
    <mergeCell ref="P26:R26"/>
    <mergeCell ref="T19:T20"/>
    <mergeCell ref="P21:Q21"/>
    <mergeCell ref="P22:Q22"/>
    <mergeCell ref="P12:Q12"/>
    <mergeCell ref="P13:Q13"/>
    <mergeCell ref="P14:Q14"/>
    <mergeCell ref="P15:Q15"/>
    <mergeCell ref="P16:Q16"/>
    <mergeCell ref="P19:Q20"/>
    <mergeCell ref="P18:Q18"/>
    <mergeCell ref="P17:Q17"/>
  </mergeCells>
  <phoneticPr fontId="0" type="noConversion"/>
  <conditionalFormatting sqref="E23">
    <cfRule type="cellIs" dxfId="83" priority="31" stopIfTrue="1" operator="between">
      <formula>0.01</formula>
      <formula>249.99</formula>
    </cfRule>
    <cfRule type="cellIs" dxfId="82" priority="32" stopIfTrue="1" operator="equal">
      <formula>250</formula>
    </cfRule>
    <cfRule type="cellIs" dxfId="81" priority="33" stopIfTrue="1" operator="greaterThan">
      <formula>250</formula>
    </cfRule>
  </conditionalFormatting>
  <conditionalFormatting sqref="E24">
    <cfRule type="cellIs" dxfId="80" priority="34" stopIfTrue="1" operator="between">
      <formula>0.01</formula>
      <formula>299.99</formula>
    </cfRule>
    <cfRule type="cellIs" dxfId="79" priority="35" stopIfTrue="1" operator="between">
      <formula>300</formula>
      <formula>600</formula>
    </cfRule>
    <cfRule type="cellIs" dxfId="78" priority="36" stopIfTrue="1" operator="greaterThan">
      <formula>600</formula>
    </cfRule>
  </conditionalFormatting>
  <conditionalFormatting sqref="E25">
    <cfRule type="cellIs" dxfId="77" priority="37" stopIfTrue="1" operator="between">
      <formula>0.01</formula>
      <formula>99.99</formula>
    </cfRule>
    <cfRule type="cellIs" dxfId="76" priority="38" stopIfTrue="1" operator="between">
      <formula>100</formula>
      <formula>250</formula>
    </cfRule>
    <cfRule type="cellIs" dxfId="75" priority="39" stopIfTrue="1" operator="greaterThan">
      <formula>250</formula>
    </cfRule>
  </conditionalFormatting>
  <conditionalFormatting sqref="E29">
    <cfRule type="cellIs" dxfId="74" priority="40" stopIfTrue="1" operator="between">
      <formula>0.01</formula>
      <formula>199.99</formula>
    </cfRule>
    <cfRule type="cellIs" dxfId="73" priority="41" stopIfTrue="1" operator="between">
      <formula>200</formula>
      <formula>400</formula>
    </cfRule>
    <cfRule type="cellIs" dxfId="72" priority="42" stopIfTrue="1" operator="greaterThan">
      <formula>400</formula>
    </cfRule>
  </conditionalFormatting>
  <conditionalFormatting sqref="E30">
    <cfRule type="cellIs" dxfId="71" priority="43" stopIfTrue="1" operator="between">
      <formula>0.01</formula>
      <formula>699.99</formula>
    </cfRule>
    <cfRule type="cellIs" dxfId="70" priority="44" stopIfTrue="1" operator="between">
      <formula>700</formula>
      <formula>1000</formula>
    </cfRule>
    <cfRule type="cellIs" dxfId="69" priority="45" stopIfTrue="1" operator="greaterThan">
      <formula>1000</formula>
    </cfRule>
  </conditionalFormatting>
  <conditionalFormatting sqref="E27">
    <cfRule type="cellIs" dxfId="68" priority="46" stopIfTrue="1" operator="between">
      <formula>0.01</formula>
      <formula>99.99</formula>
    </cfRule>
    <cfRule type="cellIs" dxfId="67" priority="47" stopIfTrue="1" operator="equal">
      <formula>100</formula>
    </cfRule>
    <cfRule type="cellIs" dxfId="66" priority="48" stopIfTrue="1" operator="greaterThan">
      <formula>100</formula>
    </cfRule>
  </conditionalFormatting>
  <conditionalFormatting sqref="E23">
    <cfRule type="cellIs" dxfId="65" priority="28" stopIfTrue="1" operator="between">
      <formula>1</formula>
      <formula>249</formula>
    </cfRule>
    <cfRule type="cellIs" dxfId="64" priority="29" stopIfTrue="1" operator="greaterThan">
      <formula>250</formula>
    </cfRule>
    <cfRule type="cellIs" dxfId="63" priority="30" stopIfTrue="1" operator="equal">
      <formula>250</formula>
    </cfRule>
  </conditionalFormatting>
  <conditionalFormatting sqref="E24">
    <cfRule type="cellIs" dxfId="62" priority="25" stopIfTrue="1" operator="between">
      <formula>0.01</formula>
      <formula>299</formula>
    </cfRule>
    <cfRule type="cellIs" dxfId="61" priority="26" stopIfTrue="1" operator="between">
      <formula>300</formula>
      <formula>600</formula>
    </cfRule>
    <cfRule type="cellIs" dxfId="60" priority="27" stopIfTrue="1" operator="greaterThan">
      <formula>600</formula>
    </cfRule>
  </conditionalFormatting>
  <conditionalFormatting sqref="E25">
    <cfRule type="cellIs" dxfId="59" priority="22" stopIfTrue="1" operator="between">
      <formula>100</formula>
      <formula>250</formula>
    </cfRule>
    <cfRule type="cellIs" dxfId="58" priority="23" stopIfTrue="1" operator="between">
      <formula>0.01</formula>
      <formula>99.99</formula>
    </cfRule>
    <cfRule type="cellIs" dxfId="57" priority="24" stopIfTrue="1" operator="greaterThan">
      <formula>250</formula>
    </cfRule>
  </conditionalFormatting>
  <conditionalFormatting sqref="E27">
    <cfRule type="cellIs" dxfId="56" priority="19" stopIfTrue="1" operator="between">
      <formula>0.01</formula>
      <formula>99.99</formula>
    </cfRule>
    <cfRule type="cellIs" dxfId="55" priority="20" stopIfTrue="1" operator="equal">
      <formula>100</formula>
    </cfRule>
    <cfRule type="cellIs" dxfId="54" priority="21" stopIfTrue="1" operator="greaterThan">
      <formula>100</formula>
    </cfRule>
  </conditionalFormatting>
  <conditionalFormatting sqref="E29">
    <cfRule type="cellIs" dxfId="53" priority="16" stopIfTrue="1" operator="between">
      <formula>0.01</formula>
      <formula>199.99</formula>
    </cfRule>
    <cfRule type="cellIs" dxfId="52" priority="17" stopIfTrue="1" operator="between">
      <formula>200</formula>
      <formula>400</formula>
    </cfRule>
    <cfRule type="cellIs" dxfId="51" priority="18" stopIfTrue="1" operator="greaterThan">
      <formula>400</formula>
    </cfRule>
  </conditionalFormatting>
  <conditionalFormatting sqref="E30">
    <cfRule type="cellIs" dxfId="50" priority="13" stopIfTrue="1" operator="between">
      <formula>700</formula>
      <formula>1000</formula>
    </cfRule>
    <cfRule type="cellIs" dxfId="49" priority="14" stopIfTrue="1" operator="between">
      <formula>0.01</formula>
      <formula>699.99</formula>
    </cfRule>
    <cfRule type="cellIs" dxfId="48" priority="15" stopIfTrue="1" operator="greaterThan">
      <formula>1000</formula>
    </cfRule>
  </conditionalFormatting>
  <conditionalFormatting sqref="E23">
    <cfRule type="cellIs" dxfId="47" priority="4" stopIfTrue="1" operator="between">
      <formula>0.01</formula>
      <formula>249.99</formula>
    </cfRule>
    <cfRule type="cellIs" dxfId="46" priority="5" stopIfTrue="1" operator="equal">
      <formula>250</formula>
    </cfRule>
    <cfRule type="cellIs" dxfId="45" priority="6" stopIfTrue="1" operator="greaterThan">
      <formula>250</formula>
    </cfRule>
  </conditionalFormatting>
  <conditionalFormatting sqref="E23">
    <cfRule type="cellIs" dxfId="44" priority="1" stopIfTrue="1" operator="between">
      <formula>1</formula>
      <formula>249</formula>
    </cfRule>
    <cfRule type="cellIs" dxfId="43" priority="2" stopIfTrue="1" operator="greaterThan">
      <formula>250</formula>
    </cfRule>
    <cfRule type="cellIs" dxfId="42" priority="3" stopIfTrue="1" operator="equal">
      <formula>250</formula>
    </cfRule>
  </conditionalFormatting>
  <pageMargins left="0.5" right="0.5" top="0.75" bottom="0.5" header="0.3" footer="0.3"/>
  <pageSetup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46"/>
  <sheetViews>
    <sheetView showGridLines="0" topLeftCell="A4" zoomScale="90" zoomScaleNormal="90" workbookViewId="0">
      <selection activeCell="F15" sqref="F15"/>
    </sheetView>
  </sheetViews>
  <sheetFormatPr defaultRowHeight="13.2" x14ac:dyDescent="0.25"/>
  <cols>
    <col min="1" max="1" width="1.33203125" customWidth="1"/>
    <col min="2" max="2" width="16.77734375" customWidth="1"/>
    <col min="3" max="3" width="11.44140625" customWidth="1"/>
    <col min="4" max="4" width="13.33203125" customWidth="1"/>
    <col min="5" max="5" width="10.6640625" customWidth="1"/>
    <col min="6" max="6" width="12.109375" customWidth="1"/>
    <col min="7" max="7" width="1.44140625" customWidth="1"/>
    <col min="8" max="8" width="9.77734375" customWidth="1"/>
    <col min="9" max="9" width="13.77734375" customWidth="1"/>
    <col min="10" max="10" width="2" customWidth="1"/>
    <col min="11" max="11" width="7.5546875" customWidth="1"/>
    <col min="12" max="12" width="22" customWidth="1"/>
    <col min="13" max="13" width="12.88671875" customWidth="1"/>
    <col min="14" max="14" width="1.44140625" customWidth="1"/>
    <col min="15" max="15" width="0.88671875" customWidth="1"/>
    <col min="16" max="16" width="16" customWidth="1"/>
    <col min="17" max="17" width="7.88671875" customWidth="1"/>
    <col min="18" max="18" width="18.44140625" customWidth="1"/>
    <col min="19" max="19" width="18.33203125" customWidth="1"/>
    <col min="20" max="20" width="46" customWidth="1"/>
  </cols>
  <sheetData>
    <row r="1" spans="2:21" ht="6" customHeight="1" thickBot="1" x14ac:dyDescent="0.3"/>
    <row r="2" spans="2:21" ht="24.75" customHeight="1" thickBot="1" x14ac:dyDescent="0.4">
      <c r="B2" s="534" t="s">
        <v>106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  <c r="P2" s="518" t="s">
        <v>88</v>
      </c>
      <c r="Q2" s="519"/>
      <c r="R2" s="519"/>
      <c r="S2" s="519"/>
      <c r="T2" s="520"/>
      <c r="U2" s="16"/>
    </row>
    <row r="3" spans="2:21" ht="5.25" customHeight="1" thickBot="1" x14ac:dyDescent="0.3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P3" s="17"/>
      <c r="Q3" s="18"/>
      <c r="R3" s="18"/>
      <c r="S3" s="18"/>
      <c r="T3" s="18"/>
      <c r="U3" s="1"/>
    </row>
    <row r="4" spans="2:21" ht="15" customHeight="1" thickBot="1" x14ac:dyDescent="0.3">
      <c r="B4" s="421" t="s">
        <v>49</v>
      </c>
      <c r="C4" s="422"/>
      <c r="D4" s="423"/>
      <c r="E4" s="551" t="s">
        <v>83</v>
      </c>
      <c r="F4" s="552"/>
      <c r="G4" s="552"/>
      <c r="H4" s="552"/>
      <c r="I4" s="552"/>
      <c r="J4" s="552"/>
      <c r="K4" s="552"/>
      <c r="L4" s="552"/>
      <c r="M4" s="553"/>
      <c r="P4" s="524" t="s">
        <v>71</v>
      </c>
      <c r="Q4" s="525"/>
      <c r="R4" s="525"/>
      <c r="S4" s="525"/>
      <c r="T4" s="526"/>
      <c r="U4" s="1"/>
    </row>
    <row r="5" spans="2:21" ht="15" customHeight="1" thickBot="1" x14ac:dyDescent="0.3">
      <c r="B5" s="71" t="s">
        <v>16</v>
      </c>
      <c r="C5" s="549" t="str">
        <f>'Acqusition-NF'!C5</f>
        <v>Property 2</v>
      </c>
      <c r="D5" s="550"/>
      <c r="E5" s="554"/>
      <c r="F5" s="555"/>
      <c r="G5" s="555"/>
      <c r="H5" s="555"/>
      <c r="I5" s="555"/>
      <c r="J5" s="555"/>
      <c r="K5" s="555"/>
      <c r="L5" s="555"/>
      <c r="M5" s="556"/>
      <c r="P5" s="524" t="s">
        <v>99</v>
      </c>
      <c r="Q5" s="525"/>
      <c r="R5" s="525"/>
      <c r="S5" s="525"/>
      <c r="T5" s="526"/>
      <c r="U5" s="1"/>
    </row>
    <row r="6" spans="2:21" ht="12.75" customHeight="1" x14ac:dyDescent="0.25">
      <c r="B6" s="436" t="s">
        <v>14</v>
      </c>
      <c r="C6" s="494"/>
      <c r="D6" s="48">
        <f>'Acqusition-NF'!D6</f>
        <v>256</v>
      </c>
      <c r="E6" s="589"/>
      <c r="F6" s="590"/>
      <c r="G6" s="590"/>
      <c r="H6" s="590"/>
      <c r="I6" s="590"/>
      <c r="J6" s="590"/>
      <c r="K6" s="590"/>
      <c r="L6" s="590"/>
      <c r="M6" s="591"/>
      <c r="P6" s="524" t="s">
        <v>86</v>
      </c>
      <c r="Q6" s="525"/>
      <c r="R6" s="525"/>
      <c r="S6" s="525"/>
      <c r="T6" s="526"/>
      <c r="U6" s="19"/>
    </row>
    <row r="7" spans="2:21" ht="13.5" customHeight="1" thickBot="1" x14ac:dyDescent="0.3">
      <c r="B7" s="436" t="s">
        <v>15</v>
      </c>
      <c r="C7" s="437"/>
      <c r="D7" s="49">
        <f>'Acqusition-NF'!D7</f>
        <v>26750000</v>
      </c>
      <c r="E7" s="589"/>
      <c r="F7" s="590"/>
      <c r="G7" s="590"/>
      <c r="H7" s="590"/>
      <c r="I7" s="590"/>
      <c r="J7" s="590"/>
      <c r="K7" s="590"/>
      <c r="L7" s="590"/>
      <c r="M7" s="591"/>
      <c r="P7" s="12" t="s">
        <v>87</v>
      </c>
      <c r="Q7" s="13"/>
      <c r="R7" s="13"/>
      <c r="S7" s="13"/>
      <c r="T7" s="14"/>
      <c r="U7" s="19"/>
    </row>
    <row r="8" spans="2:21" x14ac:dyDescent="0.25">
      <c r="B8" s="436" t="s">
        <v>38</v>
      </c>
      <c r="C8" s="437"/>
      <c r="D8" s="49">
        <f>'Acqusition-NF'!D8</f>
        <v>104492.1875</v>
      </c>
      <c r="E8" s="557"/>
      <c r="F8" s="558"/>
      <c r="G8" s="558"/>
      <c r="H8" s="558"/>
      <c r="I8" s="558"/>
      <c r="J8" s="558"/>
      <c r="K8" s="558"/>
      <c r="L8" s="558"/>
      <c r="M8" s="559"/>
    </row>
    <row r="9" spans="2:21" x14ac:dyDescent="0.25">
      <c r="B9" s="436" t="s">
        <v>19</v>
      </c>
      <c r="C9" s="437"/>
      <c r="D9" s="50">
        <f>'Acqusition-NF'!D9</f>
        <v>198964</v>
      </c>
      <c r="E9" s="557"/>
      <c r="F9" s="558"/>
      <c r="G9" s="558"/>
      <c r="H9" s="558"/>
      <c r="I9" s="558"/>
      <c r="J9" s="558"/>
      <c r="K9" s="558"/>
      <c r="L9" s="558"/>
      <c r="M9" s="559"/>
    </row>
    <row r="10" spans="2:21" ht="13.8" customHeight="1" thickBot="1" x14ac:dyDescent="0.3">
      <c r="B10" s="482" t="s">
        <v>25</v>
      </c>
      <c r="C10" s="483"/>
      <c r="D10" s="51">
        <f>'Acqusition-NF'!D10</f>
        <v>134.44643252045597</v>
      </c>
      <c r="E10" s="560"/>
      <c r="F10" s="561"/>
      <c r="G10" s="561"/>
      <c r="H10" s="561"/>
      <c r="I10" s="561"/>
      <c r="J10" s="561"/>
      <c r="K10" s="561"/>
      <c r="L10" s="561"/>
      <c r="M10" s="562"/>
    </row>
    <row r="11" spans="2:21" ht="5.25" customHeight="1" thickBot="1" x14ac:dyDescent="0.3">
      <c r="B11" s="72"/>
      <c r="C11" s="73"/>
      <c r="D11" s="74"/>
      <c r="E11" s="75"/>
      <c r="F11" s="74"/>
      <c r="G11" s="74"/>
      <c r="H11" s="74"/>
      <c r="I11" s="74"/>
      <c r="J11" s="74"/>
      <c r="K11" s="74"/>
      <c r="L11" s="74"/>
      <c r="M11" s="76"/>
    </row>
    <row r="12" spans="2:21" ht="14.4" thickBot="1" x14ac:dyDescent="0.3">
      <c r="B12" s="77" t="s">
        <v>21</v>
      </c>
      <c r="C12" s="78"/>
      <c r="D12" s="79" t="s">
        <v>97</v>
      </c>
      <c r="E12" s="80" t="s">
        <v>18</v>
      </c>
      <c r="F12" s="81" t="s">
        <v>96</v>
      </c>
      <c r="G12" s="422" t="s">
        <v>18</v>
      </c>
      <c r="H12" s="423"/>
      <c r="I12" s="82" t="s">
        <v>98</v>
      </c>
      <c r="J12" s="83"/>
      <c r="K12" s="421" t="s">
        <v>58</v>
      </c>
      <c r="L12" s="422"/>
      <c r="M12" s="423"/>
      <c r="P12" s="421" t="s">
        <v>79</v>
      </c>
      <c r="Q12" s="422"/>
      <c r="R12" s="423"/>
    </row>
    <row r="13" spans="2:21" ht="13.8" thickBot="1" x14ac:dyDescent="0.3">
      <c r="B13" s="469" t="s">
        <v>62</v>
      </c>
      <c r="C13" s="507"/>
      <c r="D13" s="49">
        <f>'Acqusition-NF'!D13</f>
        <v>2037053</v>
      </c>
      <c r="E13" s="114">
        <f>D13/D6</f>
        <v>7957.23828125</v>
      </c>
      <c r="F13" s="45">
        <v>2984460</v>
      </c>
      <c r="G13" s="508">
        <f>F13/D6</f>
        <v>11658.046875</v>
      </c>
      <c r="H13" s="509"/>
      <c r="I13" s="97">
        <f>F13/F13</f>
        <v>1</v>
      </c>
      <c r="J13" s="84"/>
      <c r="K13" s="516" t="s">
        <v>15</v>
      </c>
      <c r="L13" s="517"/>
      <c r="M13" s="87">
        <f>D7</f>
        <v>26750000</v>
      </c>
      <c r="P13" s="42"/>
      <c r="Q13" s="490" t="s">
        <v>80</v>
      </c>
      <c r="R13" s="491"/>
    </row>
    <row r="14" spans="2:21" ht="13.8" thickBot="1" x14ac:dyDescent="0.3">
      <c r="B14" s="88" t="s">
        <v>66</v>
      </c>
      <c r="C14" s="188">
        <v>0.03</v>
      </c>
      <c r="D14" s="62">
        <f>'Acqusition-NF'!D14</f>
        <v>81482.12</v>
      </c>
      <c r="E14" s="89">
        <f>D14/D6</f>
        <v>318.28953124999998</v>
      </c>
      <c r="F14" s="63">
        <f>C14*F13</f>
        <v>89533.8</v>
      </c>
      <c r="G14" s="442">
        <f>F14/D6</f>
        <v>349.74140625000001</v>
      </c>
      <c r="H14" s="443"/>
      <c r="I14" s="90">
        <f>F14/F13</f>
        <v>3.0000000000000002E-2</v>
      </c>
      <c r="J14" s="84"/>
      <c r="K14" s="88" t="s">
        <v>30</v>
      </c>
      <c r="L14" s="164"/>
      <c r="M14" s="52">
        <f>'Acqusition-NF'!M14</f>
        <v>0.2</v>
      </c>
      <c r="P14" s="43"/>
      <c r="Q14" s="490" t="s">
        <v>94</v>
      </c>
      <c r="R14" s="491"/>
    </row>
    <row r="15" spans="2:21" ht="13.8" thickBot="1" x14ac:dyDescent="0.3">
      <c r="B15" s="479" t="s">
        <v>69</v>
      </c>
      <c r="C15" s="481"/>
      <c r="D15" s="58">
        <f>'Acqusition-NF'!D15</f>
        <v>0</v>
      </c>
      <c r="E15" s="93">
        <f>D15/D6</f>
        <v>0</v>
      </c>
      <c r="F15" s="47">
        <v>20000</v>
      </c>
      <c r="G15" s="545">
        <f>F15/D6</f>
        <v>78.125</v>
      </c>
      <c r="H15" s="546"/>
      <c r="I15" s="95">
        <f>F15/F13</f>
        <v>6.701379814103724E-3</v>
      </c>
      <c r="J15" s="84"/>
      <c r="K15" s="461" t="s">
        <v>17</v>
      </c>
      <c r="L15" s="462"/>
      <c r="M15" s="53">
        <f>M13*M14</f>
        <v>5350000</v>
      </c>
      <c r="P15" s="44"/>
      <c r="Q15" s="490" t="s">
        <v>92</v>
      </c>
      <c r="R15" s="491"/>
    </row>
    <row r="16" spans="2:21" ht="13.8" thickTop="1" x14ac:dyDescent="0.25">
      <c r="B16" s="167" t="s">
        <v>39</v>
      </c>
      <c r="C16" s="176"/>
      <c r="D16" s="57">
        <f>'Acqusition-NF'!D16</f>
        <v>1955570.88</v>
      </c>
      <c r="E16" s="59">
        <f>D16/D6</f>
        <v>7638.9487499999996</v>
      </c>
      <c r="F16" s="96">
        <f>F13-F14-F15</f>
        <v>2874926.2</v>
      </c>
      <c r="G16" s="563">
        <f>F16/D6</f>
        <v>11230.180468750001</v>
      </c>
      <c r="H16" s="564"/>
      <c r="I16" s="97">
        <f>F16/F13</f>
        <v>0.96329862018589629</v>
      </c>
      <c r="J16" s="84"/>
      <c r="K16" s="474" t="s">
        <v>31</v>
      </c>
      <c r="L16" s="489"/>
      <c r="M16" s="53">
        <f>M13-M15</f>
        <v>21400000</v>
      </c>
    </row>
    <row r="17" spans="2:19" x14ac:dyDescent="0.25">
      <c r="B17" s="98" t="s">
        <v>1</v>
      </c>
      <c r="C17" s="99"/>
      <c r="D17" s="49">
        <f>'Acqusition-NF'!D17</f>
        <v>0</v>
      </c>
      <c r="E17" s="89">
        <f>D17/D6</f>
        <v>0</v>
      </c>
      <c r="F17" s="46">
        <v>120000</v>
      </c>
      <c r="G17" s="442">
        <f>F17/D6</f>
        <v>468.75</v>
      </c>
      <c r="H17" s="443"/>
      <c r="I17" s="90">
        <f>F17/F13</f>
        <v>4.0208278884622341E-2</v>
      </c>
      <c r="J17" s="84"/>
      <c r="K17" s="474" t="s">
        <v>57</v>
      </c>
      <c r="L17" s="489"/>
      <c r="M17" s="54">
        <f>'Acqusition-NF'!M17</f>
        <v>0.05</v>
      </c>
    </row>
    <row r="18" spans="2:19" ht="13.8" thickBot="1" x14ac:dyDescent="0.3">
      <c r="B18" s="479" t="s">
        <v>0</v>
      </c>
      <c r="C18" s="480"/>
      <c r="D18" s="58">
        <f>'Acqusition-NF'!D18</f>
        <v>34484</v>
      </c>
      <c r="E18" s="93">
        <f>D18/D6</f>
        <v>134.703125</v>
      </c>
      <c r="F18" s="47">
        <v>35000</v>
      </c>
      <c r="G18" s="545">
        <f>F18/D6</f>
        <v>136.71875</v>
      </c>
      <c r="H18" s="546"/>
      <c r="I18" s="95">
        <f>F18/F13</f>
        <v>1.1727414674681517E-2</v>
      </c>
      <c r="J18" s="84"/>
      <c r="K18" s="537" t="s">
        <v>91</v>
      </c>
      <c r="L18" s="538"/>
      <c r="M18" s="55">
        <f>'Acqusition-NF'!M18</f>
        <v>360</v>
      </c>
    </row>
    <row r="19" spans="2:19" ht="14.25" customHeight="1" thickTop="1" thickBot="1" x14ac:dyDescent="0.3">
      <c r="B19" s="101" t="s">
        <v>20</v>
      </c>
      <c r="C19" s="102"/>
      <c r="D19" s="57">
        <f>'Acqusition-NF'!D19</f>
        <v>1990054.88</v>
      </c>
      <c r="E19" s="103">
        <f>D19/D6</f>
        <v>7773.6518749999996</v>
      </c>
      <c r="F19" s="104">
        <f>F16+F17+F18</f>
        <v>3029926.2</v>
      </c>
      <c r="G19" s="455">
        <f>F19/D6</f>
        <v>11835.649218750001</v>
      </c>
      <c r="H19" s="456"/>
      <c r="I19" s="105">
        <f>F19/F13</f>
        <v>1.0152343137452002</v>
      </c>
      <c r="J19" s="84"/>
      <c r="K19" s="106" t="s">
        <v>28</v>
      </c>
      <c r="L19" s="107"/>
      <c r="M19" s="108">
        <f>PMT((M17/12),(12*M18),-M16)*12</f>
        <v>1070000.0169170275</v>
      </c>
    </row>
    <row r="20" spans="2:19" ht="7.35" customHeight="1" thickBot="1" x14ac:dyDescent="0.3">
      <c r="B20" s="109"/>
      <c r="C20" s="74"/>
      <c r="D20" s="110"/>
      <c r="E20" s="111"/>
      <c r="F20" s="112"/>
      <c r="G20" s="471"/>
      <c r="H20" s="471"/>
      <c r="I20" s="74"/>
      <c r="J20" s="74"/>
      <c r="K20" s="74"/>
      <c r="L20" s="74"/>
      <c r="M20" s="76"/>
    </row>
    <row r="21" spans="2:19" ht="14.4" thickBot="1" x14ac:dyDescent="0.3">
      <c r="B21" s="77" t="s">
        <v>22</v>
      </c>
      <c r="C21" s="113"/>
      <c r="D21" s="79" t="s">
        <v>97</v>
      </c>
      <c r="E21" s="80" t="s">
        <v>18</v>
      </c>
      <c r="F21" s="81" t="s">
        <v>96</v>
      </c>
      <c r="G21" s="422" t="s">
        <v>18</v>
      </c>
      <c r="H21" s="423"/>
      <c r="I21" s="82" t="s">
        <v>98</v>
      </c>
      <c r="J21" s="83"/>
      <c r="K21" s="572" t="s">
        <v>59</v>
      </c>
      <c r="L21" s="573"/>
      <c r="M21" s="571"/>
      <c r="N21" s="1"/>
      <c r="O21" s="1"/>
    </row>
    <row r="22" spans="2:19" x14ac:dyDescent="0.25">
      <c r="B22" s="469" t="s">
        <v>2</v>
      </c>
      <c r="C22" s="470"/>
      <c r="D22" s="49">
        <f>'Acqusition-NF'!D22</f>
        <v>177122</v>
      </c>
      <c r="E22" s="114">
        <f>D22/D6</f>
        <v>691.8828125</v>
      </c>
      <c r="F22" s="45">
        <v>190565</v>
      </c>
      <c r="G22" s="444">
        <f>F22/D6</f>
        <v>744.39453125</v>
      </c>
      <c r="H22" s="445"/>
      <c r="I22" s="97">
        <f>F22/F13</f>
        <v>6.3852422213733814E-2</v>
      </c>
      <c r="J22" s="84"/>
      <c r="K22" s="592" t="s">
        <v>78</v>
      </c>
      <c r="L22" s="593"/>
      <c r="M22" s="87">
        <f>'Acqusition-NF'!M22</f>
        <v>267500</v>
      </c>
    </row>
    <row r="23" spans="2:19" x14ac:dyDescent="0.25">
      <c r="B23" s="474" t="s">
        <v>3</v>
      </c>
      <c r="C23" s="475"/>
      <c r="D23" s="49">
        <f>'Acqusition-NF'!D23</f>
        <v>223696</v>
      </c>
      <c r="E23" s="89">
        <f>D23/D6</f>
        <v>873.8125</v>
      </c>
      <c r="F23" s="46">
        <v>128000</v>
      </c>
      <c r="G23" s="446">
        <f>F23/D6</f>
        <v>500</v>
      </c>
      <c r="H23" s="447"/>
      <c r="I23" s="90">
        <f>F23/F13</f>
        <v>4.2888830810263831E-2</v>
      </c>
      <c r="J23" s="84"/>
      <c r="K23" s="474" t="s">
        <v>32</v>
      </c>
      <c r="L23" s="489"/>
      <c r="M23" s="52">
        <f>'Acqusition-NF'!M23</f>
        <v>0.01</v>
      </c>
    </row>
    <row r="24" spans="2:19" x14ac:dyDescent="0.25">
      <c r="B24" s="115" t="s">
        <v>4</v>
      </c>
      <c r="C24" s="99"/>
      <c r="D24" s="49">
        <f>'Acqusition-NF'!D24</f>
        <v>702710</v>
      </c>
      <c r="E24" s="116">
        <f>D24/D6</f>
        <v>2744.9609375</v>
      </c>
      <c r="F24" s="46">
        <v>128000</v>
      </c>
      <c r="G24" s="446">
        <f>F24/D6</f>
        <v>500</v>
      </c>
      <c r="H24" s="447"/>
      <c r="I24" s="90">
        <f>F24/F13</f>
        <v>4.2888830810263831E-2</v>
      </c>
      <c r="J24" s="84"/>
      <c r="K24" s="474" t="s">
        <v>33</v>
      </c>
      <c r="L24" s="489"/>
      <c r="M24" s="53">
        <f>'Acqusition-NF'!M24</f>
        <v>214000</v>
      </c>
    </row>
    <row r="25" spans="2:19" ht="13.8" thickBot="1" x14ac:dyDescent="0.3">
      <c r="B25" s="474" t="s">
        <v>5</v>
      </c>
      <c r="C25" s="476"/>
      <c r="D25" s="49">
        <f>'Acqusition-NF'!D25</f>
        <v>34535</v>
      </c>
      <c r="E25" s="116">
        <f>D25/D6</f>
        <v>134.90234375</v>
      </c>
      <c r="F25" s="46">
        <v>31575</v>
      </c>
      <c r="G25" s="446">
        <f>F25/D6</f>
        <v>123.33984375</v>
      </c>
      <c r="H25" s="447"/>
      <c r="I25" s="90">
        <f>D25/D13</f>
        <v>1.6953412601439434E-2</v>
      </c>
      <c r="J25" s="84"/>
      <c r="K25" s="537" t="s">
        <v>84</v>
      </c>
      <c r="L25" s="538"/>
      <c r="M25" s="53">
        <f>'Acqusition-NF'!M25</f>
        <v>0</v>
      </c>
    </row>
    <row r="26" spans="2:19" ht="13.8" thickBot="1" x14ac:dyDescent="0.3">
      <c r="B26" s="98" t="s">
        <v>37</v>
      </c>
      <c r="C26" s="117">
        <f>'Acqusition-NF'!C26</f>
        <v>0.03</v>
      </c>
      <c r="D26" s="62">
        <f>'Acqusition-NF'!D26</f>
        <v>59701.646399999998</v>
      </c>
      <c r="E26" s="89">
        <f>D26/D6</f>
        <v>233.20955624999999</v>
      </c>
      <c r="F26" s="184">
        <f>F19*C26</f>
        <v>90897.786000000007</v>
      </c>
      <c r="G26" s="446">
        <f>F26/D6</f>
        <v>355.06947656250003</v>
      </c>
      <c r="H26" s="447"/>
      <c r="I26" s="90">
        <f>F26/F13</f>
        <v>3.0457029412356007E-2</v>
      </c>
      <c r="J26" s="84"/>
      <c r="K26" s="574" t="s">
        <v>35</v>
      </c>
      <c r="L26" s="575"/>
      <c r="M26" s="108">
        <f>'Acqusition-NF'!M26</f>
        <v>0</v>
      </c>
    </row>
    <row r="27" spans="2:19" ht="13.8" thickBot="1" x14ac:dyDescent="0.3">
      <c r="B27" s="474" t="s">
        <v>6</v>
      </c>
      <c r="C27" s="470"/>
      <c r="D27" s="49">
        <f>'Acqusition-NF'!D27</f>
        <v>2056</v>
      </c>
      <c r="E27" s="89">
        <f>D27/D6</f>
        <v>8.03125</v>
      </c>
      <c r="F27" s="46">
        <v>2056</v>
      </c>
      <c r="G27" s="446">
        <f>F27/D6</f>
        <v>8.03125</v>
      </c>
      <c r="H27" s="447"/>
      <c r="I27" s="90">
        <f>F27/F13</f>
        <v>6.8890184488986283E-4</v>
      </c>
      <c r="J27" s="84"/>
      <c r="K27" s="101" t="s">
        <v>34</v>
      </c>
      <c r="L27" s="118"/>
      <c r="M27" s="119">
        <f>M22+M24+M25+M26</f>
        <v>481500</v>
      </c>
    </row>
    <row r="28" spans="2:19" ht="13.8" thickBot="1" x14ac:dyDescent="0.3">
      <c r="B28" s="474" t="s">
        <v>7</v>
      </c>
      <c r="C28" s="475"/>
      <c r="D28" s="49">
        <f>'Acqusition-NF'!D28</f>
        <v>191165</v>
      </c>
      <c r="E28" s="89">
        <f>D28/D6</f>
        <v>746.73828125</v>
      </c>
      <c r="F28" s="46">
        <v>191165</v>
      </c>
      <c r="G28" s="446">
        <f>F28/D6</f>
        <v>746.73828125</v>
      </c>
      <c r="H28" s="447"/>
      <c r="I28" s="90">
        <f>F28/F13</f>
        <v>6.4053463608156919E-2</v>
      </c>
      <c r="J28" s="84"/>
      <c r="K28" s="101"/>
      <c r="L28" s="120"/>
      <c r="M28" s="121"/>
    </row>
    <row r="29" spans="2:19" ht="13.8" thickBot="1" x14ac:dyDescent="0.3">
      <c r="B29" s="474" t="s">
        <v>8</v>
      </c>
      <c r="C29" s="475"/>
      <c r="D29" s="49">
        <f>'Acqusition-NF'!D29</f>
        <v>113166</v>
      </c>
      <c r="E29" s="89">
        <f>D29/D6</f>
        <v>442.0546875</v>
      </c>
      <c r="F29" s="46">
        <v>64000</v>
      </c>
      <c r="G29" s="446">
        <f>F29/D6</f>
        <v>250</v>
      </c>
      <c r="H29" s="447"/>
      <c r="I29" s="90">
        <f>F29/F13</f>
        <v>2.1444415405131916E-2</v>
      </c>
      <c r="J29" s="84"/>
      <c r="K29" s="106" t="s">
        <v>36</v>
      </c>
      <c r="L29" s="107"/>
      <c r="M29" s="122">
        <f>M27+M15-M32</f>
        <v>5831500</v>
      </c>
    </row>
    <row r="30" spans="2:19" ht="13.8" thickBot="1" x14ac:dyDescent="0.3">
      <c r="B30" s="479" t="s">
        <v>9</v>
      </c>
      <c r="C30" s="480"/>
      <c r="D30" s="60">
        <f>'Acqusition-NF'!D30</f>
        <v>269165</v>
      </c>
      <c r="E30" s="93">
        <f>D30/D6</f>
        <v>1051.42578125</v>
      </c>
      <c r="F30" s="47">
        <v>269165</v>
      </c>
      <c r="G30" s="547">
        <f>F30/D6</f>
        <v>1051.42578125</v>
      </c>
      <c r="H30" s="548"/>
      <c r="I30" s="95">
        <f>F30/F13</f>
        <v>9.0188844883161437E-2</v>
      </c>
      <c r="J30" s="84"/>
      <c r="K30" s="74"/>
      <c r="L30" s="74"/>
      <c r="M30" s="74"/>
      <c r="S30" s="7"/>
    </row>
    <row r="31" spans="2:19" ht="15" thickTop="1" thickBot="1" x14ac:dyDescent="0.3">
      <c r="B31" s="101" t="s">
        <v>11</v>
      </c>
      <c r="C31" s="124"/>
      <c r="D31" s="104">
        <f>'Acqusition-NF'!D31</f>
        <v>1773316.6464</v>
      </c>
      <c r="E31" s="125">
        <f>D31/D6</f>
        <v>6927.0181499999999</v>
      </c>
      <c r="F31" s="104">
        <f>SUM(F22:F30)</f>
        <v>1095423.7859999998</v>
      </c>
      <c r="G31" s="594">
        <f>F31/D6</f>
        <v>4278.9991640624994</v>
      </c>
      <c r="H31" s="595"/>
      <c r="I31" s="105">
        <f>F31/F13</f>
        <v>0.36704254236947381</v>
      </c>
      <c r="J31" s="84"/>
      <c r="K31" s="421" t="s">
        <v>67</v>
      </c>
      <c r="L31" s="422"/>
      <c r="M31" s="571"/>
      <c r="S31" s="7"/>
    </row>
    <row r="32" spans="2:19" ht="13.35" customHeight="1" x14ac:dyDescent="0.25">
      <c r="B32" s="512" t="s">
        <v>12</v>
      </c>
      <c r="C32" s="513"/>
      <c r="D32" s="577">
        <f>'Acqusition-NF'!D32</f>
        <v>216738.23359999992</v>
      </c>
      <c r="E32" s="126"/>
      <c r="F32" s="579">
        <f>F19-F31</f>
        <v>1934502.4140000003</v>
      </c>
      <c r="G32" s="74"/>
      <c r="H32" s="74"/>
      <c r="I32" s="74"/>
      <c r="J32" s="74"/>
      <c r="K32" s="85" t="s">
        <v>31</v>
      </c>
      <c r="L32" s="127"/>
      <c r="M32" s="87">
        <f>'Acqusition-NF'!M32</f>
        <v>0</v>
      </c>
      <c r="S32" s="7"/>
    </row>
    <row r="33" spans="2:19" ht="13.5" customHeight="1" thickBot="1" x14ac:dyDescent="0.3">
      <c r="B33" s="514"/>
      <c r="C33" s="515"/>
      <c r="D33" s="578"/>
      <c r="E33" s="128"/>
      <c r="F33" s="580"/>
      <c r="G33" s="73"/>
      <c r="H33" s="73"/>
      <c r="I33" s="73"/>
      <c r="J33" s="73"/>
      <c r="K33" s="91" t="s">
        <v>57</v>
      </c>
      <c r="L33" s="92"/>
      <c r="M33" s="53">
        <f>'Acqusition-NF'!M33</f>
        <v>0</v>
      </c>
      <c r="S33" s="7"/>
    </row>
    <row r="34" spans="2:19" ht="13.8" thickBot="1" x14ac:dyDescent="0.3">
      <c r="B34" s="495" t="s">
        <v>10</v>
      </c>
      <c r="C34" s="496"/>
      <c r="D34" s="129">
        <f>'Acqusition-NF'!D34</f>
        <v>76800</v>
      </c>
      <c r="E34" s="177"/>
      <c r="F34" s="123">
        <f>D34</f>
        <v>76800</v>
      </c>
      <c r="G34" s="73"/>
      <c r="H34" s="73"/>
      <c r="I34" s="73"/>
      <c r="J34" s="73"/>
      <c r="K34" s="436" t="s">
        <v>63</v>
      </c>
      <c r="L34" s="581"/>
      <c r="M34" s="53">
        <f>'Acqusition-NF'!M34</f>
        <v>250</v>
      </c>
      <c r="S34" s="7"/>
    </row>
    <row r="35" spans="2:19" ht="13.5" customHeight="1" thickTop="1" thickBot="1" x14ac:dyDescent="0.3">
      <c r="B35" s="130" t="s">
        <v>103</v>
      </c>
      <c r="C35" s="131"/>
      <c r="D35" s="178">
        <f>'Acqusition-NF'!D35</f>
        <v>139938.23359999992</v>
      </c>
      <c r="E35" s="76"/>
      <c r="F35" s="133">
        <f>F32-F34</f>
        <v>1857702.4140000003</v>
      </c>
      <c r="G35" s="73"/>
      <c r="H35" s="134"/>
      <c r="I35" s="134"/>
      <c r="J35" s="134"/>
      <c r="K35" s="106" t="s">
        <v>28</v>
      </c>
      <c r="L35" s="107"/>
      <c r="M35" s="108">
        <f>PMT((M33/12),(12*M34),-M32)*12</f>
        <v>0</v>
      </c>
      <c r="S35" s="7"/>
    </row>
    <row r="36" spans="2:19" ht="13.5" customHeight="1" thickBot="1" x14ac:dyDescent="0.3">
      <c r="B36" s="484" t="s">
        <v>40</v>
      </c>
      <c r="C36" s="582"/>
      <c r="D36" s="179">
        <f>'Acqusition-NF'!D36</f>
        <v>1070000.0169170275</v>
      </c>
      <c r="E36" s="76"/>
      <c r="F36" s="138">
        <f>M19</f>
        <v>1070000.0169170275</v>
      </c>
      <c r="G36" s="139"/>
      <c r="H36" s="73"/>
      <c r="I36" s="73"/>
      <c r="J36" s="73"/>
      <c r="K36" s="74"/>
      <c r="L36" s="74"/>
      <c r="M36" s="74"/>
      <c r="S36" s="7"/>
    </row>
    <row r="37" spans="2:19" ht="15" customHeight="1" thickBot="1" x14ac:dyDescent="0.3">
      <c r="B37" s="450" t="s">
        <v>27</v>
      </c>
      <c r="C37" s="576"/>
      <c r="D37" s="179">
        <f>'Acqusition-NF'!D37</f>
        <v>0</v>
      </c>
      <c r="E37" s="76"/>
      <c r="F37" s="140">
        <f>M35</f>
        <v>0</v>
      </c>
      <c r="G37" s="139"/>
      <c r="H37" s="466" t="s">
        <v>101</v>
      </c>
      <c r="I37" s="467"/>
      <c r="J37" s="467"/>
      <c r="K37" s="467"/>
      <c r="L37" s="466" t="s">
        <v>102</v>
      </c>
      <c r="M37" s="468"/>
      <c r="S37" s="7"/>
    </row>
    <row r="38" spans="2:19" ht="12.75" customHeight="1" x14ac:dyDescent="0.25">
      <c r="B38" s="484" t="s">
        <v>26</v>
      </c>
      <c r="C38" s="582"/>
      <c r="D38" s="179">
        <f>'Acqusition-NF'!D38</f>
        <v>-930061.78331702761</v>
      </c>
      <c r="E38" s="76"/>
      <c r="F38" s="138">
        <f>(F35-F36-F37)</f>
        <v>787702.39708297281</v>
      </c>
      <c r="G38" s="73"/>
      <c r="H38" s="567"/>
      <c r="I38" s="583"/>
      <c r="J38" s="583"/>
      <c r="K38" s="584"/>
      <c r="L38" s="567"/>
      <c r="M38" s="568"/>
    </row>
    <row r="39" spans="2:19" ht="13.8" customHeight="1" x14ac:dyDescent="0.25">
      <c r="B39" s="450" t="s">
        <v>23</v>
      </c>
      <c r="C39" s="576"/>
      <c r="D39" s="180">
        <f>'Acqusition-NF'!D39</f>
        <v>-0.15948928805916618</v>
      </c>
      <c r="E39" s="76"/>
      <c r="F39" s="90">
        <f>F38/M29</f>
        <v>0.13507714946119742</v>
      </c>
      <c r="G39" s="139"/>
      <c r="H39" s="565"/>
      <c r="I39" s="569"/>
      <c r="J39" s="569"/>
      <c r="K39" s="570"/>
      <c r="L39" s="565"/>
      <c r="M39" s="566"/>
    </row>
    <row r="40" spans="2:19" ht="13.5" customHeight="1" x14ac:dyDescent="0.25">
      <c r="B40" s="450" t="s">
        <v>24</v>
      </c>
      <c r="C40" s="576"/>
      <c r="D40" s="181">
        <f>'Acqusition-NF'!D40</f>
        <v>0.13078339382012491</v>
      </c>
      <c r="E40" s="76"/>
      <c r="F40" s="142">
        <f>F35/(F36+F37)</f>
        <v>1.7361704529244457</v>
      </c>
      <c r="G40" s="83">
        <v>1</v>
      </c>
      <c r="H40" s="565"/>
      <c r="I40" s="569"/>
      <c r="J40" s="569"/>
      <c r="K40" s="570"/>
      <c r="L40" s="565"/>
      <c r="M40" s="566"/>
    </row>
    <row r="41" spans="2:19" ht="13.8" thickBot="1" x14ac:dyDescent="0.3">
      <c r="B41" s="450" t="s">
        <v>13</v>
      </c>
      <c r="C41" s="576"/>
      <c r="D41" s="180">
        <f>'Acqusition-NF'!D41</f>
        <v>8.1023638728971933E-3</v>
      </c>
      <c r="E41" s="143"/>
      <c r="F41" s="90">
        <f>F32/D7</f>
        <v>7.2317847252336462E-2</v>
      </c>
      <c r="G41" s="83">
        <v>2</v>
      </c>
      <c r="H41" s="565"/>
      <c r="I41" s="569"/>
      <c r="J41" s="569"/>
      <c r="K41" s="570"/>
      <c r="L41" s="565"/>
      <c r="M41" s="566"/>
    </row>
    <row r="42" spans="2:19" ht="12.75" customHeight="1" thickBot="1" x14ac:dyDescent="0.3">
      <c r="B42" s="450" t="s">
        <v>95</v>
      </c>
      <c r="C42" s="576"/>
      <c r="D42" s="179">
        <f>'Acqusition-NF'!D42</f>
        <v>0</v>
      </c>
      <c r="E42" s="61">
        <f>'Acqusition-NF'!E42</f>
        <v>0</v>
      </c>
      <c r="F42" s="132">
        <f>F38*E42</f>
        <v>0</v>
      </c>
      <c r="G42" s="144">
        <v>0.03</v>
      </c>
      <c r="H42" s="565"/>
      <c r="I42" s="569"/>
      <c r="J42" s="569"/>
      <c r="K42" s="570"/>
      <c r="L42" s="565"/>
      <c r="M42" s="566"/>
    </row>
    <row r="43" spans="2:19" x14ac:dyDescent="0.25">
      <c r="B43" s="450" t="s">
        <v>55</v>
      </c>
      <c r="C43" s="576"/>
      <c r="D43" s="179">
        <f>'Acqusition-NF'!D43</f>
        <v>-930061.78331702761</v>
      </c>
      <c r="E43" s="74"/>
      <c r="F43" s="132">
        <f>F38-F42</f>
        <v>787702.39708297281</v>
      </c>
      <c r="G43" s="83"/>
      <c r="H43" s="565"/>
      <c r="I43" s="569"/>
      <c r="J43" s="569"/>
      <c r="K43" s="570"/>
      <c r="L43" s="565"/>
      <c r="M43" s="566"/>
    </row>
    <row r="44" spans="2:19" ht="13.35" customHeight="1" thickBot="1" x14ac:dyDescent="0.3">
      <c r="B44" s="448" t="s">
        <v>56</v>
      </c>
      <c r="C44" s="449"/>
      <c r="D44" s="182">
        <f>'Acqusition-NF'!D44</f>
        <v>-0.15948928805916618</v>
      </c>
      <c r="E44" s="102"/>
      <c r="F44" s="148">
        <f>F43/M29</f>
        <v>0.13507714946119742</v>
      </c>
      <c r="G44" s="83"/>
      <c r="H44" s="585"/>
      <c r="I44" s="587"/>
      <c r="J44" s="587"/>
      <c r="K44" s="588"/>
      <c r="L44" s="585"/>
      <c r="M44" s="586"/>
      <c r="S44" s="64" t="s">
        <v>70</v>
      </c>
    </row>
    <row r="45" spans="2:19" ht="15" customHeight="1" x14ac:dyDescent="0.25">
      <c r="F45" s="6" t="s">
        <v>70</v>
      </c>
    </row>
    <row r="46" spans="2:19" x14ac:dyDescent="0.25">
      <c r="B46" s="1"/>
    </row>
  </sheetData>
  <sheetProtection password="9D59" sheet="1" selectLockedCells="1"/>
  <mergeCells count="96">
    <mergeCell ref="E6:M6"/>
    <mergeCell ref="E7:M7"/>
    <mergeCell ref="K22:L22"/>
    <mergeCell ref="B40:C40"/>
    <mergeCell ref="B41:C41"/>
    <mergeCell ref="B37:C37"/>
    <mergeCell ref="B38:C38"/>
    <mergeCell ref="B39:C39"/>
    <mergeCell ref="H37:K37"/>
    <mergeCell ref="B29:C29"/>
    <mergeCell ref="G29:H29"/>
    <mergeCell ref="B30:C30"/>
    <mergeCell ref="G30:H30"/>
    <mergeCell ref="G31:H31"/>
    <mergeCell ref="B28:C28"/>
    <mergeCell ref="G28:H28"/>
    <mergeCell ref="B43:C43"/>
    <mergeCell ref="B44:C44"/>
    <mergeCell ref="H42:K42"/>
    <mergeCell ref="B32:C33"/>
    <mergeCell ref="D32:D33"/>
    <mergeCell ref="F32:F33"/>
    <mergeCell ref="B34:C34"/>
    <mergeCell ref="K34:L34"/>
    <mergeCell ref="B36:C36"/>
    <mergeCell ref="H38:K38"/>
    <mergeCell ref="B42:C42"/>
    <mergeCell ref="L44:M44"/>
    <mergeCell ref="L42:M42"/>
    <mergeCell ref="H43:K43"/>
    <mergeCell ref="H44:K44"/>
    <mergeCell ref="B27:C27"/>
    <mergeCell ref="G27:H27"/>
    <mergeCell ref="K25:L25"/>
    <mergeCell ref="K23:L23"/>
    <mergeCell ref="K24:L24"/>
    <mergeCell ref="G24:H24"/>
    <mergeCell ref="B25:C25"/>
    <mergeCell ref="G25:H25"/>
    <mergeCell ref="B18:C18"/>
    <mergeCell ref="G18:H18"/>
    <mergeCell ref="K18:L18"/>
    <mergeCell ref="G19:H19"/>
    <mergeCell ref="L41:M41"/>
    <mergeCell ref="G20:H20"/>
    <mergeCell ref="G21:H21"/>
    <mergeCell ref="K21:M21"/>
    <mergeCell ref="L40:M40"/>
    <mergeCell ref="G26:H26"/>
    <mergeCell ref="K26:L26"/>
    <mergeCell ref="H41:K41"/>
    <mergeCell ref="B22:C22"/>
    <mergeCell ref="G22:H22"/>
    <mergeCell ref="B23:C23"/>
    <mergeCell ref="G23:H23"/>
    <mergeCell ref="G16:H16"/>
    <mergeCell ref="K16:L16"/>
    <mergeCell ref="G17:H17"/>
    <mergeCell ref="K17:L17"/>
    <mergeCell ref="L43:M43"/>
    <mergeCell ref="L38:M38"/>
    <mergeCell ref="L39:M39"/>
    <mergeCell ref="L37:M37"/>
    <mergeCell ref="H39:K39"/>
    <mergeCell ref="H40:K40"/>
    <mergeCell ref="K31:M31"/>
    <mergeCell ref="K15:L15"/>
    <mergeCell ref="G12:H12"/>
    <mergeCell ref="K12:M12"/>
    <mergeCell ref="B13:C13"/>
    <mergeCell ref="G13:H13"/>
    <mergeCell ref="K13:L13"/>
    <mergeCell ref="Q14:R14"/>
    <mergeCell ref="Q15:R15"/>
    <mergeCell ref="B6:C6"/>
    <mergeCell ref="P6:T6"/>
    <mergeCell ref="B7:C7"/>
    <mergeCell ref="B8:C8"/>
    <mergeCell ref="E8:M8"/>
    <mergeCell ref="E10:M10"/>
    <mergeCell ref="P12:R12"/>
    <mergeCell ref="B9:C9"/>
    <mergeCell ref="B10:C10"/>
    <mergeCell ref="E9:M9"/>
    <mergeCell ref="Q13:R13"/>
    <mergeCell ref="G14:H14"/>
    <mergeCell ref="B15:C15"/>
    <mergeCell ref="G15:H15"/>
    <mergeCell ref="B2:M2"/>
    <mergeCell ref="P2:T2"/>
    <mergeCell ref="B4:D4"/>
    <mergeCell ref="P4:T4"/>
    <mergeCell ref="C5:D5"/>
    <mergeCell ref="P5:T5"/>
    <mergeCell ref="E4:M4"/>
    <mergeCell ref="E5:M5"/>
  </mergeCells>
  <conditionalFormatting sqref="E23">
    <cfRule type="cellIs" dxfId="41" priority="40" stopIfTrue="1" operator="between">
      <formula>0.01</formula>
      <formula>249.99</formula>
    </cfRule>
    <cfRule type="cellIs" dxfId="40" priority="41" stopIfTrue="1" operator="equal">
      <formula>250</formula>
    </cfRule>
    <cfRule type="cellIs" dxfId="39" priority="42" stopIfTrue="1" operator="greaterThan">
      <formula>250</formula>
    </cfRule>
  </conditionalFormatting>
  <conditionalFormatting sqref="E24">
    <cfRule type="cellIs" dxfId="38" priority="37" stopIfTrue="1" operator="between">
      <formula>0.01</formula>
      <formula>299.99</formula>
    </cfRule>
    <cfRule type="cellIs" dxfId="37" priority="38" stopIfTrue="1" operator="between">
      <formula>300</formula>
      <formula>600</formula>
    </cfRule>
    <cfRule type="cellIs" dxfId="36" priority="39" stopIfTrue="1" operator="greaterThan">
      <formula>600</formula>
    </cfRule>
  </conditionalFormatting>
  <conditionalFormatting sqref="E25">
    <cfRule type="cellIs" dxfId="35" priority="34" stopIfTrue="1" operator="between">
      <formula>0.01</formula>
      <formula>99.99</formula>
    </cfRule>
    <cfRule type="cellIs" dxfId="34" priority="35" stopIfTrue="1" operator="between">
      <formula>100</formula>
      <formula>250</formula>
    </cfRule>
    <cfRule type="cellIs" dxfId="33" priority="36" stopIfTrue="1" operator="greaterThan">
      <formula>250</formula>
    </cfRule>
  </conditionalFormatting>
  <conditionalFormatting sqref="E29">
    <cfRule type="cellIs" dxfId="32" priority="31" stopIfTrue="1" operator="between">
      <formula>0.01</formula>
      <formula>199.99</formula>
    </cfRule>
    <cfRule type="cellIs" dxfId="31" priority="32" stopIfTrue="1" operator="between">
      <formula>200</formula>
      <formula>400</formula>
    </cfRule>
    <cfRule type="cellIs" dxfId="30" priority="33" stopIfTrue="1" operator="greaterThan">
      <formula>400</formula>
    </cfRule>
  </conditionalFormatting>
  <conditionalFormatting sqref="E30">
    <cfRule type="cellIs" dxfId="29" priority="28" stopIfTrue="1" operator="between">
      <formula>0.01</formula>
      <formula>699.99</formula>
    </cfRule>
    <cfRule type="cellIs" dxfId="28" priority="29" stopIfTrue="1" operator="between">
      <formula>700</formula>
      <formula>1000</formula>
    </cfRule>
    <cfRule type="cellIs" dxfId="27" priority="30" stopIfTrue="1" operator="greaterThan">
      <formula>1000</formula>
    </cfRule>
  </conditionalFormatting>
  <conditionalFormatting sqref="E27">
    <cfRule type="cellIs" dxfId="26" priority="25" stopIfTrue="1" operator="between">
      <formula>0.01</formula>
      <formula>99.99</formula>
    </cfRule>
    <cfRule type="cellIs" dxfId="25" priority="26" stopIfTrue="1" operator="equal">
      <formula>100</formula>
    </cfRule>
    <cfRule type="cellIs" dxfId="24" priority="27" stopIfTrue="1" operator="greaterThan">
      <formula>100</formula>
    </cfRule>
  </conditionalFormatting>
  <conditionalFormatting sqref="E23">
    <cfRule type="cellIs" dxfId="23" priority="22" stopIfTrue="1" operator="between">
      <formula>1</formula>
      <formula>249</formula>
    </cfRule>
    <cfRule type="cellIs" dxfId="22" priority="23" stopIfTrue="1" operator="greaterThan">
      <formula>250</formula>
    </cfRule>
    <cfRule type="cellIs" dxfId="21" priority="24" stopIfTrue="1" operator="equal">
      <formula>250</formula>
    </cfRule>
  </conditionalFormatting>
  <conditionalFormatting sqref="E24">
    <cfRule type="cellIs" dxfId="20" priority="19" stopIfTrue="1" operator="between">
      <formula>0.01</formula>
      <formula>299</formula>
    </cfRule>
    <cfRule type="cellIs" dxfId="19" priority="20" stopIfTrue="1" operator="between">
      <formula>300</formula>
      <formula>600</formula>
    </cfRule>
    <cfRule type="cellIs" dxfId="18" priority="21" stopIfTrue="1" operator="greaterThan">
      <formula>600</formula>
    </cfRule>
  </conditionalFormatting>
  <conditionalFormatting sqref="E25">
    <cfRule type="cellIs" dxfId="17" priority="16" stopIfTrue="1" operator="between">
      <formula>100</formula>
      <formula>250</formula>
    </cfRule>
    <cfRule type="cellIs" dxfId="16" priority="17" stopIfTrue="1" operator="between">
      <formula>0.01</formula>
      <formula>99.99</formula>
    </cfRule>
    <cfRule type="cellIs" dxfId="15" priority="18" stopIfTrue="1" operator="greaterThan">
      <formula>250</formula>
    </cfRule>
  </conditionalFormatting>
  <conditionalFormatting sqref="E27">
    <cfRule type="cellIs" dxfId="14" priority="13" stopIfTrue="1" operator="between">
      <formula>0.01</formula>
      <formula>99.99</formula>
    </cfRule>
    <cfRule type="cellIs" dxfId="13" priority="14" stopIfTrue="1" operator="equal">
      <formula>100</formula>
    </cfRule>
    <cfRule type="cellIs" dxfId="12" priority="15" stopIfTrue="1" operator="greaterThan">
      <formula>100</formula>
    </cfRule>
  </conditionalFormatting>
  <conditionalFormatting sqref="E29">
    <cfRule type="cellIs" dxfId="11" priority="10" stopIfTrue="1" operator="between">
      <formula>0.01</formula>
      <formula>199.99</formula>
    </cfRule>
    <cfRule type="cellIs" dxfId="10" priority="11" stopIfTrue="1" operator="between">
      <formula>200</formula>
      <formula>400</formula>
    </cfRule>
    <cfRule type="cellIs" dxfId="9" priority="12" stopIfTrue="1" operator="greaterThan">
      <formula>400</formula>
    </cfRule>
  </conditionalFormatting>
  <conditionalFormatting sqref="E30">
    <cfRule type="cellIs" dxfId="8" priority="7" stopIfTrue="1" operator="between">
      <formula>700</formula>
      <formula>1000</formula>
    </cfRule>
    <cfRule type="cellIs" dxfId="7" priority="8" stopIfTrue="1" operator="between">
      <formula>0.01</formula>
      <formula>699.99</formula>
    </cfRule>
    <cfRule type="cellIs" dxfId="6" priority="9" stopIfTrue="1" operator="greaterThan">
      <formula>1000</formula>
    </cfRule>
  </conditionalFormatting>
  <conditionalFormatting sqref="E23">
    <cfRule type="cellIs" dxfId="5" priority="4" stopIfTrue="1" operator="between">
      <formula>0.01</formula>
      <formula>249.99</formula>
    </cfRule>
    <cfRule type="cellIs" dxfId="4" priority="5" stopIfTrue="1" operator="equal">
      <formula>250</formula>
    </cfRule>
    <cfRule type="cellIs" dxfId="3" priority="6" stopIfTrue="1" operator="greaterThan">
      <formula>250</formula>
    </cfRule>
  </conditionalFormatting>
  <conditionalFormatting sqref="E23">
    <cfRule type="cellIs" dxfId="2" priority="1" stopIfTrue="1" operator="between">
      <formula>1</formula>
      <formula>249</formula>
    </cfRule>
    <cfRule type="cellIs" dxfId="1" priority="2" stopIfTrue="1" operator="greaterThan">
      <formula>250</formula>
    </cfRule>
    <cfRule type="cellIs" dxfId="0" priority="3" stopIfTrue="1" operator="equal">
      <formula>250</formula>
    </cfRule>
  </conditionalFormatting>
  <pageMargins left="0.25" right="0.25" top="0.2" bottom="0.25" header="0" footer="0"/>
  <pageSetup orientation="landscape" r:id="rId1"/>
  <headerFooter alignWithMargins="0"/>
  <ignoredErrors>
    <ignoredError sqref="E16 E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905E-160B-4BB8-BDDB-4827A104BAC4}">
  <dimension ref="C1:L1000"/>
  <sheetViews>
    <sheetView topLeftCell="A7" workbookViewId="0">
      <selection activeCell="G34" sqref="G34:J34"/>
    </sheetView>
  </sheetViews>
  <sheetFormatPr defaultColWidth="14.44140625" defaultRowHeight="15" customHeight="1" x14ac:dyDescent="0.25"/>
  <cols>
    <col min="1" max="2" width="1.21875" style="195" customWidth="1"/>
    <col min="3" max="3" width="5.77734375" style="195" customWidth="1"/>
    <col min="4" max="4" width="10" style="195" customWidth="1"/>
    <col min="5" max="5" width="11" style="195" customWidth="1"/>
    <col min="6" max="6" width="12.44140625" style="195" customWidth="1"/>
    <col min="7" max="7" width="11.77734375" style="195" customWidth="1"/>
    <col min="8" max="10" width="13.44140625" style="195" customWidth="1"/>
    <col min="11" max="11" width="12.21875" style="195" customWidth="1"/>
    <col min="12" max="12" width="8.44140625" style="195" customWidth="1"/>
    <col min="13" max="26" width="10" style="195" customWidth="1"/>
    <col min="27" max="16384" width="14.44140625" style="195"/>
  </cols>
  <sheetData>
    <row r="1" spans="3:10" ht="12.75" customHeight="1" thickBot="1" x14ac:dyDescent="0.3"/>
    <row r="2" spans="3:10" ht="18" customHeight="1" thickBot="1" x14ac:dyDescent="0.35">
      <c r="C2" s="625" t="s">
        <v>143</v>
      </c>
      <c r="D2" s="603"/>
      <c r="E2" s="603"/>
      <c r="F2" s="603"/>
      <c r="G2" s="603"/>
      <c r="H2" s="603"/>
      <c r="I2" s="603"/>
      <c r="J2" s="604"/>
    </row>
    <row r="3" spans="3:10" ht="13.5" customHeight="1" thickBot="1" x14ac:dyDescent="0.3">
      <c r="C3" s="626" t="s">
        <v>142</v>
      </c>
      <c r="D3" s="604"/>
      <c r="E3" s="624" t="s">
        <v>231</v>
      </c>
      <c r="F3" s="603"/>
      <c r="G3" s="603"/>
      <c r="H3" s="604"/>
      <c r="I3" s="249" t="s">
        <v>141</v>
      </c>
      <c r="J3" s="248">
        <v>43765</v>
      </c>
    </row>
    <row r="4" spans="3:10" ht="12.75" customHeight="1" thickBot="1" x14ac:dyDescent="0.3">
      <c r="C4" s="627"/>
      <c r="D4" s="600"/>
      <c r="E4" s="600"/>
      <c r="F4" s="600"/>
      <c r="G4" s="600"/>
      <c r="H4" s="600"/>
      <c r="I4" s="600"/>
      <c r="J4" s="601"/>
    </row>
    <row r="5" spans="3:10" ht="15.75" customHeight="1" thickBot="1" x14ac:dyDescent="0.3">
      <c r="C5" s="628" t="s">
        <v>140</v>
      </c>
      <c r="D5" s="600"/>
      <c r="E5" s="600"/>
      <c r="F5" s="600"/>
      <c r="G5" s="600"/>
      <c r="H5" s="600"/>
      <c r="I5" s="600"/>
      <c r="J5" s="601"/>
    </row>
    <row r="6" spans="3:10" ht="13.5" customHeight="1" thickBot="1" x14ac:dyDescent="0.3">
      <c r="C6" s="606"/>
      <c r="D6" s="600"/>
      <c r="E6" s="246" t="s">
        <v>139</v>
      </c>
      <c r="F6" s="245">
        <v>3.5000000000000003E-2</v>
      </c>
      <c r="G6" s="247"/>
      <c r="H6" s="246" t="s">
        <v>126</v>
      </c>
      <c r="I6" s="245">
        <v>0.02</v>
      </c>
      <c r="J6" s="244"/>
    </row>
    <row r="7" spans="3:10" ht="16.5" customHeight="1" thickBot="1" x14ac:dyDescent="0.3">
      <c r="C7" s="630" t="s">
        <v>138</v>
      </c>
      <c r="D7" s="600"/>
      <c r="E7" s="600"/>
      <c r="F7" s="600"/>
      <c r="G7" s="600"/>
      <c r="H7" s="600"/>
      <c r="I7" s="600"/>
      <c r="J7" s="601"/>
    </row>
    <row r="8" spans="3:10" ht="12.75" customHeight="1" thickBot="1" x14ac:dyDescent="0.3">
      <c r="C8" s="631" t="s">
        <v>137</v>
      </c>
      <c r="D8" s="632"/>
      <c r="E8" s="632"/>
      <c r="F8" s="632"/>
      <c r="G8" s="632"/>
      <c r="H8" s="632"/>
      <c r="I8" s="632"/>
      <c r="J8" s="619"/>
    </row>
    <row r="9" spans="3:10" ht="12.75" customHeight="1" thickBot="1" x14ac:dyDescent="0.3">
      <c r="C9" s="243"/>
      <c r="D9" s="242"/>
      <c r="E9" s="242"/>
      <c r="F9" s="241" t="s">
        <v>96</v>
      </c>
      <c r="G9" s="241" t="s">
        <v>136</v>
      </c>
      <c r="H9" s="241" t="s">
        <v>135</v>
      </c>
      <c r="I9" s="241" t="s">
        <v>134</v>
      </c>
      <c r="J9" s="240" t="s">
        <v>133</v>
      </c>
    </row>
    <row r="10" spans="3:10" ht="12" customHeight="1" x14ac:dyDescent="0.25">
      <c r="C10" s="607" t="s">
        <v>132</v>
      </c>
      <c r="D10" s="608"/>
      <c r="E10" s="609"/>
      <c r="F10" s="239">
        <v>2984460</v>
      </c>
      <c r="G10" s="238">
        <f>F10*(1+F6)</f>
        <v>3088916.0999999996</v>
      </c>
      <c r="H10" s="238">
        <f>G10*(1+F6)</f>
        <v>3197028.1634999993</v>
      </c>
      <c r="I10" s="238">
        <f>H10*(1+F6)</f>
        <v>3308924.1492224992</v>
      </c>
      <c r="J10" s="237">
        <f>I10*(1+F6)</f>
        <v>3424736.4944452862</v>
      </c>
    </row>
    <row r="11" spans="3:10" ht="12.75" customHeight="1" thickBot="1" x14ac:dyDescent="0.3">
      <c r="C11" s="235" t="s">
        <v>131</v>
      </c>
      <c r="D11" s="234"/>
      <c r="E11" s="233"/>
      <c r="F11" s="232">
        <v>0</v>
      </c>
      <c r="G11" s="236">
        <v>0</v>
      </c>
      <c r="H11" s="236">
        <v>0</v>
      </c>
      <c r="I11" s="236">
        <v>0</v>
      </c>
      <c r="J11" s="236">
        <v>0</v>
      </c>
    </row>
    <row r="12" spans="3:10" ht="12.75" customHeight="1" thickTop="1" x14ac:dyDescent="0.25">
      <c r="C12" s="235" t="s">
        <v>130</v>
      </c>
      <c r="D12" s="234"/>
      <c r="E12" s="233"/>
      <c r="F12" s="231">
        <f>F10+F11</f>
        <v>2984460</v>
      </c>
      <c r="G12" s="231">
        <f>G10+G11</f>
        <v>3088916.0999999996</v>
      </c>
      <c r="H12" s="231">
        <f>H10+H11</f>
        <v>3197028.1634999993</v>
      </c>
      <c r="I12" s="231">
        <f>I10+I11</f>
        <v>3308924.1492224992</v>
      </c>
      <c r="J12" s="231">
        <f>J10+J11</f>
        <v>3424736.4944452862</v>
      </c>
    </row>
    <row r="13" spans="3:10" ht="12.75" customHeight="1" thickBot="1" x14ac:dyDescent="0.3">
      <c r="C13" s="629" t="s">
        <v>129</v>
      </c>
      <c r="D13" s="611"/>
      <c r="E13" s="612"/>
      <c r="F13" s="232">
        <v>-89534</v>
      </c>
      <c r="G13" s="232">
        <v>-89534</v>
      </c>
      <c r="H13" s="232">
        <v>-89534</v>
      </c>
      <c r="I13" s="232">
        <v>-89534</v>
      </c>
      <c r="J13" s="232">
        <v>-89534</v>
      </c>
    </row>
    <row r="14" spans="3:10" ht="12.75" customHeight="1" thickTop="1" x14ac:dyDescent="0.25">
      <c r="C14" s="629" t="s">
        <v>128</v>
      </c>
      <c r="D14" s="611"/>
      <c r="E14" s="612"/>
      <c r="F14" s="231">
        <f>SUM(F12:F13)</f>
        <v>2894926</v>
      </c>
      <c r="G14" s="231">
        <f>SUM(G12:G13)</f>
        <v>2999382.0999999996</v>
      </c>
      <c r="H14" s="231">
        <f>SUM(H12:H13)</f>
        <v>3107494.1634999993</v>
      </c>
      <c r="I14" s="231">
        <f>SUM(I12:I13)</f>
        <v>3219390.1492224992</v>
      </c>
      <c r="J14" s="231">
        <f>SUM(J12:J13)</f>
        <v>3335202.4944452862</v>
      </c>
    </row>
    <row r="15" spans="3:10" ht="12" customHeight="1" x14ac:dyDescent="0.25">
      <c r="C15" s="629" t="s">
        <v>1</v>
      </c>
      <c r="D15" s="611"/>
      <c r="E15" s="612"/>
      <c r="F15" s="230">
        <v>65000</v>
      </c>
      <c r="G15" s="230">
        <v>66950</v>
      </c>
      <c r="H15" s="230">
        <v>68958</v>
      </c>
      <c r="I15" s="230">
        <v>71027</v>
      </c>
      <c r="J15" s="230">
        <v>73158</v>
      </c>
    </row>
    <row r="16" spans="3:10" ht="12.75" customHeight="1" thickBot="1" x14ac:dyDescent="0.3">
      <c r="C16" s="614" t="s">
        <v>0</v>
      </c>
      <c r="D16" s="615"/>
      <c r="E16" s="616"/>
      <c r="F16" s="229">
        <v>92000</v>
      </c>
      <c r="G16" s="229">
        <v>94760</v>
      </c>
      <c r="H16" s="229">
        <v>97603</v>
      </c>
      <c r="I16" s="229">
        <v>100531</v>
      </c>
      <c r="J16" s="229">
        <v>103547</v>
      </c>
    </row>
    <row r="17" spans="3:10" ht="12.75" customHeight="1" thickBot="1" x14ac:dyDescent="0.3">
      <c r="C17" s="633" t="s">
        <v>127</v>
      </c>
      <c r="D17" s="597"/>
      <c r="E17" s="598"/>
      <c r="F17" s="214">
        <f>SUM(F14:F16)</f>
        <v>3051926</v>
      </c>
      <c r="G17" s="214">
        <f>SUM(G14:G16)</f>
        <v>3161092.0999999996</v>
      </c>
      <c r="H17" s="214">
        <f>SUM(H14:H16)</f>
        <v>3274055.1634999993</v>
      </c>
      <c r="I17" s="214">
        <f>SUM(I14:I16)</f>
        <v>3390948.1492224992</v>
      </c>
      <c r="J17" s="213">
        <f>SUM(J14:J16)</f>
        <v>3511907.4944452862</v>
      </c>
    </row>
    <row r="18" spans="3:10" ht="12.75" customHeight="1" thickBot="1" x14ac:dyDescent="0.3">
      <c r="C18" s="634" t="s">
        <v>126</v>
      </c>
      <c r="D18" s="603"/>
      <c r="E18" s="603"/>
      <c r="F18" s="603"/>
      <c r="G18" s="603"/>
      <c r="H18" s="603"/>
      <c r="I18" s="603"/>
      <c r="J18" s="604"/>
    </row>
    <row r="19" spans="3:10" ht="12" customHeight="1" x14ac:dyDescent="0.25">
      <c r="C19" s="613" t="s">
        <v>2</v>
      </c>
      <c r="D19" s="608"/>
      <c r="E19" s="609"/>
      <c r="F19" s="228">
        <v>190565</v>
      </c>
      <c r="G19" s="227">
        <f>F19*(1+I6)</f>
        <v>194376.30000000002</v>
      </c>
      <c r="H19" s="227">
        <f>G19*(1+I6)</f>
        <v>198263.82600000003</v>
      </c>
      <c r="I19" s="227">
        <f>H19*(1+I6)</f>
        <v>202229.10252000004</v>
      </c>
      <c r="J19" s="226">
        <f>I19*(1+I6)</f>
        <v>206273.68457040004</v>
      </c>
    </row>
    <row r="20" spans="3:10" ht="12" customHeight="1" x14ac:dyDescent="0.25">
      <c r="C20" s="610" t="s">
        <v>3</v>
      </c>
      <c r="D20" s="611"/>
      <c r="E20" s="612"/>
      <c r="F20" s="221">
        <v>128000</v>
      </c>
      <c r="G20" s="220">
        <f>F20*(1+I6)</f>
        <v>130560</v>
      </c>
      <c r="H20" s="220">
        <f>G20*(1+I6)</f>
        <v>133171.20000000001</v>
      </c>
      <c r="I20" s="220">
        <f>H20*(1+I6)</f>
        <v>135834.62400000001</v>
      </c>
      <c r="J20" s="219">
        <f>I20*(1+I6)</f>
        <v>138551.31648000001</v>
      </c>
    </row>
    <row r="21" spans="3:10" ht="12" customHeight="1" x14ac:dyDescent="0.25">
      <c r="C21" s="224" t="s">
        <v>125</v>
      </c>
      <c r="D21" s="223"/>
      <c r="E21" s="225"/>
      <c r="F21" s="221">
        <v>128000</v>
      </c>
      <c r="G21" s="220">
        <f>F21*(1+I6)</f>
        <v>130560</v>
      </c>
      <c r="H21" s="220">
        <f>G21*(1+I6)</f>
        <v>133171.20000000001</v>
      </c>
      <c r="I21" s="220">
        <f>H21*(1+I6)</f>
        <v>135834.62400000001</v>
      </c>
      <c r="J21" s="219">
        <f>I21*(1+I6)</f>
        <v>138551.31648000001</v>
      </c>
    </row>
    <row r="22" spans="3:10" ht="12" customHeight="1" x14ac:dyDescent="0.25">
      <c r="C22" s="224" t="s">
        <v>124</v>
      </c>
      <c r="D22" s="223"/>
      <c r="E22" s="225"/>
      <c r="F22" s="221">
        <v>31575</v>
      </c>
      <c r="G22" s="220">
        <f>F22*(1+I6)</f>
        <v>32206.5</v>
      </c>
      <c r="H22" s="220">
        <f>G22*(1+I6)</f>
        <v>32850.629999999997</v>
      </c>
      <c r="I22" s="220">
        <f>H22*(1+I6)</f>
        <v>33507.642599999999</v>
      </c>
      <c r="J22" s="219">
        <f>I22*(1+I6)</f>
        <v>34177.795451999998</v>
      </c>
    </row>
    <row r="23" spans="3:10" ht="12" customHeight="1" x14ac:dyDescent="0.25">
      <c r="C23" s="224" t="s">
        <v>123</v>
      </c>
      <c r="D23" s="223"/>
      <c r="E23" s="222">
        <v>0.03</v>
      </c>
      <c r="F23" s="221">
        <v>90898</v>
      </c>
      <c r="G23" s="220">
        <f>F23*(1+I6)</f>
        <v>92715.96</v>
      </c>
      <c r="H23" s="220">
        <f>G23*(1+I6)</f>
        <v>94570.279200000004</v>
      </c>
      <c r="I23" s="220">
        <f>H23*(1+I6)</f>
        <v>96461.684784000012</v>
      </c>
      <c r="J23" s="219">
        <f>I23*(1+I6)</f>
        <v>98390.918479680011</v>
      </c>
    </row>
    <row r="24" spans="3:10" ht="12" customHeight="1" x14ac:dyDescent="0.25">
      <c r="C24" s="610" t="s">
        <v>6</v>
      </c>
      <c r="D24" s="611"/>
      <c r="E24" s="612"/>
      <c r="F24" s="221">
        <v>5000</v>
      </c>
      <c r="G24" s="220">
        <f>F24*(1+I6)</f>
        <v>5100</v>
      </c>
      <c r="H24" s="220">
        <f>G24*(1+I6)</f>
        <v>5202</v>
      </c>
      <c r="I24" s="220">
        <f>H24*(1+I6)</f>
        <v>5306.04</v>
      </c>
      <c r="J24" s="219">
        <f>I24*(1+I6)</f>
        <v>5412.1607999999997</v>
      </c>
    </row>
    <row r="25" spans="3:10" ht="12" customHeight="1" x14ac:dyDescent="0.25">
      <c r="C25" s="610" t="s">
        <v>7</v>
      </c>
      <c r="D25" s="611"/>
      <c r="E25" s="612"/>
      <c r="F25" s="221">
        <v>191165</v>
      </c>
      <c r="G25" s="220">
        <f>F25*(1+I6)</f>
        <v>194988.30000000002</v>
      </c>
      <c r="H25" s="220">
        <f>G25*(1+I6)</f>
        <v>198888.06600000002</v>
      </c>
      <c r="I25" s="220">
        <f>H25*(1+I6)</f>
        <v>202865.82732000001</v>
      </c>
      <c r="J25" s="219">
        <f>I25*(1+I6)</f>
        <v>206923.1438664</v>
      </c>
    </row>
    <row r="26" spans="3:10" ht="12" customHeight="1" x14ac:dyDescent="0.25">
      <c r="C26" s="610" t="s">
        <v>122</v>
      </c>
      <c r="D26" s="611"/>
      <c r="E26" s="612"/>
      <c r="F26" s="221">
        <v>64000</v>
      </c>
      <c r="G26" s="220">
        <f>F26*(1+I6)</f>
        <v>65280</v>
      </c>
      <c r="H26" s="220">
        <f>G26*(1+I6)</f>
        <v>66585.600000000006</v>
      </c>
      <c r="I26" s="220">
        <f>H26*(1+I6)</f>
        <v>67917.312000000005</v>
      </c>
      <c r="J26" s="219">
        <f>I26*(1+I6)</f>
        <v>69275.658240000004</v>
      </c>
    </row>
    <row r="27" spans="3:10" ht="12.75" customHeight="1" thickBot="1" x14ac:dyDescent="0.3">
      <c r="C27" s="620" t="s">
        <v>9</v>
      </c>
      <c r="D27" s="615"/>
      <c r="E27" s="616"/>
      <c r="F27" s="205">
        <v>269165</v>
      </c>
      <c r="G27" s="218">
        <f>F27*(1+I6)</f>
        <v>274548.3</v>
      </c>
      <c r="H27" s="218">
        <f>G27*(1+I6)</f>
        <v>280039.266</v>
      </c>
      <c r="I27" s="218">
        <f>H27*(1+I6)</f>
        <v>285640.05132000003</v>
      </c>
      <c r="J27" s="217">
        <f>I27*(1+I6)</f>
        <v>291352.85234640003</v>
      </c>
    </row>
    <row r="28" spans="3:10" ht="12.75" customHeight="1" thickBot="1" x14ac:dyDescent="0.3">
      <c r="C28" s="621" t="s">
        <v>121</v>
      </c>
      <c r="D28" s="600"/>
      <c r="E28" s="601"/>
      <c r="F28" s="216">
        <f>SUM(F19:F27)</f>
        <v>1098368</v>
      </c>
      <c r="G28" s="215">
        <f>SUM(G19:G27)</f>
        <v>1120335.3600000001</v>
      </c>
      <c r="H28" s="214">
        <f>SUM(H19:H27)</f>
        <v>1142742.0672000002</v>
      </c>
      <c r="I28" s="214">
        <f>SUM(I19:I27)</f>
        <v>1165596.9085440002</v>
      </c>
      <c r="J28" s="213">
        <f>SUM(J19:J27)</f>
        <v>1188908.8467148801</v>
      </c>
    </row>
    <row r="29" spans="3:10" ht="3.75" customHeight="1" thickBot="1" x14ac:dyDescent="0.3">
      <c r="C29" s="606"/>
      <c r="D29" s="600"/>
      <c r="E29" s="600"/>
      <c r="F29" s="600"/>
      <c r="G29" s="600"/>
      <c r="H29" s="600"/>
      <c r="I29" s="600"/>
      <c r="J29" s="601"/>
    </row>
    <row r="30" spans="3:10" ht="12" customHeight="1" x14ac:dyDescent="0.25">
      <c r="C30" s="210" t="s">
        <v>12</v>
      </c>
      <c r="D30" s="209"/>
      <c r="E30" s="209"/>
      <c r="F30" s="212">
        <f>SUM(F17-F28)</f>
        <v>1953558</v>
      </c>
      <c r="G30" s="212">
        <f>SUM(G17-G28)</f>
        <v>2040756.7399999995</v>
      </c>
      <c r="H30" s="212">
        <f>SUM(H17-H28)</f>
        <v>2131313.0962999994</v>
      </c>
      <c r="I30" s="212">
        <f>SUM(I17-I28)</f>
        <v>2225351.240678499</v>
      </c>
      <c r="J30" s="212">
        <f>SUM(J17-J28)</f>
        <v>2322998.6477304064</v>
      </c>
    </row>
    <row r="31" spans="3:10" ht="12" customHeight="1" x14ac:dyDescent="0.25">
      <c r="C31" s="210" t="s">
        <v>120</v>
      </c>
      <c r="D31" s="209"/>
      <c r="E31" s="209"/>
      <c r="F31" s="211">
        <v>-76800</v>
      </c>
      <c r="G31" s="207">
        <f>F31</f>
        <v>-76800</v>
      </c>
      <c r="H31" s="207">
        <f>F31</f>
        <v>-76800</v>
      </c>
      <c r="I31" s="207">
        <f>F31</f>
        <v>-76800</v>
      </c>
      <c r="J31" s="207">
        <f>F31</f>
        <v>-76800</v>
      </c>
    </row>
    <row r="32" spans="3:10" ht="12" customHeight="1" x14ac:dyDescent="0.25">
      <c r="C32" s="210" t="s">
        <v>119</v>
      </c>
      <c r="D32" s="209"/>
      <c r="E32" s="209"/>
      <c r="F32" s="206">
        <f>SUM(F30:F31)</f>
        <v>1876758</v>
      </c>
      <c r="G32" s="206">
        <f>SUM(G30:G31)</f>
        <v>1963956.7399999995</v>
      </c>
      <c r="H32" s="206">
        <f>SUM(H30:H31)</f>
        <v>2054513.0962999994</v>
      </c>
      <c r="I32" s="206">
        <f>SUM(I30:I31)</f>
        <v>2148551.240678499</v>
      </c>
      <c r="J32" s="206">
        <f>SUM(J30:J31)</f>
        <v>2246198.6477304064</v>
      </c>
    </row>
    <row r="33" spans="3:11" ht="12" customHeight="1" x14ac:dyDescent="0.25">
      <c r="C33" s="210"/>
      <c r="D33" s="209"/>
      <c r="E33" s="209"/>
      <c r="F33" s="206"/>
      <c r="G33" s="206"/>
      <c r="H33" s="206"/>
      <c r="I33" s="206"/>
      <c r="J33" s="206"/>
    </row>
    <row r="34" spans="3:11" ht="12" customHeight="1" x14ac:dyDescent="0.25">
      <c r="C34" s="617" t="s">
        <v>118</v>
      </c>
      <c r="D34" s="618"/>
      <c r="E34" s="618"/>
      <c r="F34" s="211">
        <v>-1070000</v>
      </c>
      <c r="G34" s="211">
        <v>-1070000</v>
      </c>
      <c r="H34" s="211">
        <v>-1070000</v>
      </c>
      <c r="I34" s="211">
        <v>-1070000</v>
      </c>
      <c r="J34" s="211">
        <v>-1070000</v>
      </c>
    </row>
    <row r="35" spans="3:11" ht="6.75" customHeight="1" x14ac:dyDescent="0.25">
      <c r="C35" s="210"/>
      <c r="D35" s="209"/>
      <c r="E35" s="209"/>
      <c r="F35" s="206"/>
      <c r="G35" s="206"/>
      <c r="H35" s="206"/>
      <c r="I35" s="206"/>
      <c r="J35" s="206"/>
    </row>
    <row r="36" spans="3:11" ht="12.75" customHeight="1" thickBot="1" x14ac:dyDescent="0.3">
      <c r="C36" s="623" t="s">
        <v>117</v>
      </c>
      <c r="D36" s="618"/>
      <c r="E36" s="618"/>
      <c r="F36" s="206">
        <f>SUM(F32+F34)</f>
        <v>806758</v>
      </c>
      <c r="G36" s="206">
        <f>SUM(G32+G34)</f>
        <v>893956.73999999953</v>
      </c>
      <c r="H36" s="206">
        <f>SUM(H32+H34)</f>
        <v>984513.09629999939</v>
      </c>
      <c r="I36" s="206">
        <f>SUM(I32+I34)</f>
        <v>1078551.240678499</v>
      </c>
      <c r="J36" s="206">
        <f>SUM(J32+J34)</f>
        <v>1176198.6477304064</v>
      </c>
    </row>
    <row r="37" spans="3:11" ht="12.75" customHeight="1" thickBot="1" x14ac:dyDescent="0.3">
      <c r="C37" s="617" t="s">
        <v>116</v>
      </c>
      <c r="D37" s="619"/>
      <c r="E37" s="208">
        <v>0</v>
      </c>
      <c r="F37" s="207">
        <f>SUM(F36*-E37)</f>
        <v>0</v>
      </c>
      <c r="G37" s="207">
        <f>SUM(G36*-E37)</f>
        <v>0</v>
      </c>
      <c r="H37" s="207">
        <f>SUM(H36*-E37)</f>
        <v>0</v>
      </c>
      <c r="I37" s="207">
        <f>SUM(I36*-E37)</f>
        <v>0</v>
      </c>
      <c r="J37" s="207">
        <f>SUM(J36*-E37)</f>
        <v>0</v>
      </c>
    </row>
    <row r="38" spans="3:11" ht="12" customHeight="1" x14ac:dyDescent="0.25">
      <c r="C38" s="617" t="s">
        <v>115</v>
      </c>
      <c r="D38" s="618"/>
      <c r="E38" s="618"/>
      <c r="F38" s="206">
        <f>SUM(F36+F37)</f>
        <v>806758</v>
      </c>
      <c r="G38" s="206">
        <f>SUM(G36+G37)</f>
        <v>893956.73999999953</v>
      </c>
      <c r="H38" s="206">
        <f>SUM(H36+H37)</f>
        <v>984513.09629999939</v>
      </c>
      <c r="I38" s="206">
        <f>SUM(I36+I37)</f>
        <v>1078551.240678499</v>
      </c>
      <c r="J38" s="206">
        <f>SUM(J36+J37)</f>
        <v>1176198.6477304064</v>
      </c>
    </row>
    <row r="39" spans="3:11" ht="12.75" customHeight="1" thickBot="1" x14ac:dyDescent="0.3">
      <c r="C39" s="622" t="s">
        <v>114</v>
      </c>
      <c r="D39" s="597"/>
      <c r="E39" s="597"/>
      <c r="F39" s="205">
        <v>5497088</v>
      </c>
      <c r="G39" s="204">
        <f>F39</f>
        <v>5497088</v>
      </c>
      <c r="H39" s="204">
        <f>G39</f>
        <v>5497088</v>
      </c>
      <c r="I39" s="204">
        <f>H39</f>
        <v>5497088</v>
      </c>
      <c r="J39" s="204">
        <f>I39</f>
        <v>5497088</v>
      </c>
    </row>
    <row r="40" spans="3:11" ht="18" customHeight="1" thickBot="1" x14ac:dyDescent="0.3">
      <c r="C40" s="605" t="s">
        <v>113</v>
      </c>
      <c r="D40" s="600"/>
      <c r="E40" s="600"/>
      <c r="F40" s="202">
        <f>SUM(F38/F39)</f>
        <v>0.14676097599310761</v>
      </c>
      <c r="G40" s="203">
        <f>SUM(G38/G39)</f>
        <v>0.16262369094327753</v>
      </c>
      <c r="H40" s="202">
        <f>SUM(H38/H39)</f>
        <v>0.17909720497470649</v>
      </c>
      <c r="I40" s="202">
        <f>SUM(I38/I39)</f>
        <v>0.19620410673405611</v>
      </c>
      <c r="J40" s="201">
        <f>SUM(J38/J39)</f>
        <v>0.21396758569817445</v>
      </c>
      <c r="K40" s="195" t="s">
        <v>108</v>
      </c>
    </row>
    <row r="41" spans="3:11" ht="9.75" customHeight="1" thickBot="1" x14ac:dyDescent="0.3">
      <c r="F41" s="199"/>
      <c r="G41" s="199"/>
      <c r="H41" s="199"/>
      <c r="I41" s="199"/>
      <c r="J41" s="199"/>
    </row>
    <row r="42" spans="3:11" ht="12.75" customHeight="1" thickBot="1" x14ac:dyDescent="0.3">
      <c r="C42" s="599" t="s">
        <v>83</v>
      </c>
      <c r="D42" s="600"/>
      <c r="E42" s="600"/>
      <c r="F42" s="600"/>
      <c r="G42" s="600"/>
      <c r="H42" s="600"/>
      <c r="I42" s="600"/>
      <c r="J42" s="601"/>
    </row>
    <row r="43" spans="3:11" ht="12" customHeight="1" x14ac:dyDescent="0.25">
      <c r="C43" s="602" t="s">
        <v>112</v>
      </c>
      <c r="D43" s="603"/>
      <c r="E43" s="603"/>
      <c r="F43" s="603"/>
      <c r="G43" s="603"/>
      <c r="H43" s="603"/>
      <c r="I43" s="603"/>
      <c r="J43" s="604"/>
    </row>
    <row r="44" spans="3:11" ht="12" customHeight="1" x14ac:dyDescent="0.25">
      <c r="C44" s="617" t="s">
        <v>111</v>
      </c>
      <c r="D44" s="618"/>
      <c r="E44" s="618"/>
      <c r="F44" s="618"/>
      <c r="G44" s="618"/>
      <c r="H44" s="618"/>
      <c r="I44" s="618"/>
      <c r="J44" s="619"/>
    </row>
    <row r="45" spans="3:11" ht="12" customHeight="1" x14ac:dyDescent="0.25">
      <c r="C45" s="617" t="s">
        <v>110</v>
      </c>
      <c r="D45" s="618"/>
      <c r="E45" s="618"/>
      <c r="F45" s="618"/>
      <c r="G45" s="618"/>
      <c r="H45" s="618"/>
      <c r="I45" s="618"/>
      <c r="J45" s="619"/>
    </row>
    <row r="46" spans="3:11" ht="12.75" customHeight="1" thickBot="1" x14ac:dyDescent="0.3">
      <c r="C46" s="596" t="s">
        <v>109</v>
      </c>
      <c r="D46" s="597"/>
      <c r="E46" s="597"/>
      <c r="F46" s="597"/>
      <c r="G46" s="597"/>
      <c r="H46" s="597"/>
      <c r="I46" s="597"/>
      <c r="J46" s="598"/>
    </row>
    <row r="47" spans="3:11" ht="12" customHeight="1" x14ac:dyDescent="0.25">
      <c r="F47" s="199"/>
      <c r="G47" s="199"/>
      <c r="H47" s="199"/>
      <c r="I47" s="199"/>
      <c r="J47" s="199"/>
    </row>
    <row r="48" spans="3:11" ht="12" customHeight="1" x14ac:dyDescent="0.25">
      <c r="C48" s="200"/>
      <c r="F48" s="199"/>
      <c r="G48" s="199"/>
      <c r="H48" s="199"/>
      <c r="I48" s="199"/>
      <c r="J48" s="199"/>
    </row>
    <row r="49" spans="3:12" ht="12" customHeight="1" x14ac:dyDescent="0.25">
      <c r="F49" s="199"/>
      <c r="G49" s="199"/>
      <c r="H49" s="199"/>
      <c r="I49" s="199"/>
      <c r="J49" s="199"/>
    </row>
    <row r="50" spans="3:12" ht="12" customHeight="1" x14ac:dyDescent="0.25">
      <c r="F50" s="199"/>
      <c r="G50" s="199"/>
      <c r="H50" s="199"/>
      <c r="I50" s="199"/>
      <c r="J50" s="199"/>
    </row>
    <row r="51" spans="3:12" ht="12" customHeight="1" x14ac:dyDescent="0.25">
      <c r="F51" s="199"/>
      <c r="G51" s="199"/>
      <c r="H51" s="199"/>
      <c r="I51" s="199"/>
      <c r="J51" s="199"/>
    </row>
    <row r="52" spans="3:12" ht="12" customHeight="1" x14ac:dyDescent="0.25">
      <c r="F52" s="199"/>
      <c r="G52" s="199"/>
      <c r="H52" s="199"/>
      <c r="I52" s="199"/>
      <c r="J52" s="199"/>
    </row>
    <row r="53" spans="3:12" ht="12" customHeight="1" x14ac:dyDescent="0.25">
      <c r="F53" s="199"/>
      <c r="G53" s="199"/>
      <c r="H53" s="199"/>
      <c r="I53" s="199"/>
      <c r="J53" s="199"/>
    </row>
    <row r="54" spans="3:12" ht="12" customHeight="1" x14ac:dyDescent="0.25">
      <c r="F54" s="199"/>
      <c r="G54" s="199"/>
      <c r="H54" s="199"/>
      <c r="I54" s="199"/>
      <c r="J54" s="199"/>
    </row>
    <row r="55" spans="3:12" ht="12" customHeight="1" x14ac:dyDescent="0.25">
      <c r="F55" s="199"/>
      <c r="G55" s="199"/>
      <c r="H55" s="199"/>
      <c r="I55" s="199"/>
      <c r="J55" s="199"/>
    </row>
    <row r="56" spans="3:12" ht="12" customHeight="1" x14ac:dyDescent="0.25">
      <c r="F56" s="199"/>
      <c r="G56" s="199"/>
      <c r="H56" s="199"/>
      <c r="I56" s="199"/>
      <c r="J56" s="199"/>
    </row>
    <row r="57" spans="3:12" ht="12" customHeight="1" x14ac:dyDescent="0.25">
      <c r="F57" s="199"/>
      <c r="G57" s="199"/>
      <c r="H57" s="199"/>
      <c r="I57" s="199"/>
      <c r="J57" s="199"/>
    </row>
    <row r="58" spans="3:12" ht="12" customHeight="1" x14ac:dyDescent="0.25"/>
    <row r="59" spans="3:12" ht="12" customHeight="1" x14ac:dyDescent="0.25"/>
    <row r="60" spans="3:12" ht="12" customHeight="1" x14ac:dyDescent="0.25">
      <c r="C60" s="200"/>
      <c r="D60" s="200"/>
      <c r="E60" s="200"/>
      <c r="F60" s="200"/>
      <c r="G60" s="200"/>
      <c r="H60" s="200"/>
      <c r="I60" s="200"/>
    </row>
    <row r="61" spans="3:12" ht="12" customHeight="1" x14ac:dyDescent="0.25">
      <c r="C61" s="200"/>
      <c r="D61" s="200"/>
      <c r="E61" s="200"/>
      <c r="F61" s="200"/>
      <c r="G61" s="200"/>
      <c r="H61" s="200"/>
      <c r="I61" s="200"/>
    </row>
    <row r="62" spans="3:12" ht="12" customHeight="1" x14ac:dyDescent="0.25">
      <c r="E62" s="198"/>
    </row>
    <row r="63" spans="3:12" ht="12" customHeight="1" x14ac:dyDescent="0.25">
      <c r="F63" s="199"/>
      <c r="G63" s="199"/>
      <c r="H63" s="199"/>
      <c r="I63" s="199"/>
      <c r="J63" s="199"/>
      <c r="K63" s="199"/>
    </row>
    <row r="64" spans="3:12" ht="12" customHeight="1" x14ac:dyDescent="0.25">
      <c r="F64" s="197"/>
      <c r="G64" s="197"/>
      <c r="H64" s="197"/>
      <c r="I64" s="197"/>
      <c r="J64" s="197"/>
      <c r="L64" s="197"/>
    </row>
    <row r="65" spans="8:12" ht="12" customHeight="1" x14ac:dyDescent="0.25">
      <c r="K65" s="198"/>
      <c r="L65" s="197"/>
    </row>
    <row r="66" spans="8:12" ht="12" customHeight="1" x14ac:dyDescent="0.25">
      <c r="L66" s="197"/>
    </row>
    <row r="67" spans="8:12" ht="12" customHeight="1" x14ac:dyDescent="0.25"/>
    <row r="68" spans="8:12" ht="12" customHeight="1" x14ac:dyDescent="0.25">
      <c r="H68" s="196"/>
    </row>
    <row r="69" spans="8:12" ht="12" customHeight="1" x14ac:dyDescent="0.25"/>
    <row r="70" spans="8:12" ht="12" customHeight="1" x14ac:dyDescent="0.25"/>
    <row r="71" spans="8:12" ht="12" customHeight="1" x14ac:dyDescent="0.25"/>
    <row r="72" spans="8:12" ht="12" customHeight="1" x14ac:dyDescent="0.25"/>
    <row r="73" spans="8:12" ht="12" customHeight="1" x14ac:dyDescent="0.25"/>
    <row r="74" spans="8:12" ht="12" customHeight="1" x14ac:dyDescent="0.25"/>
    <row r="75" spans="8:12" ht="12" customHeight="1" x14ac:dyDescent="0.25"/>
    <row r="76" spans="8:12" ht="12" customHeight="1" x14ac:dyDescent="0.25"/>
    <row r="77" spans="8:12" ht="12" customHeight="1" x14ac:dyDescent="0.25"/>
    <row r="78" spans="8:12" ht="12" customHeight="1" x14ac:dyDescent="0.25"/>
    <row r="79" spans="8:12" ht="12" customHeight="1" x14ac:dyDescent="0.25"/>
    <row r="80" spans="8:12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34">
    <mergeCell ref="C24:E24"/>
    <mergeCell ref="C13:E13"/>
    <mergeCell ref="C7:J7"/>
    <mergeCell ref="C8:J8"/>
    <mergeCell ref="C17:E17"/>
    <mergeCell ref="C18:J18"/>
    <mergeCell ref="C15:E15"/>
    <mergeCell ref="C14:E14"/>
    <mergeCell ref="E3:H3"/>
    <mergeCell ref="C2:J2"/>
    <mergeCell ref="C3:D3"/>
    <mergeCell ref="C4:J4"/>
    <mergeCell ref="C5:J5"/>
    <mergeCell ref="C38:E38"/>
    <mergeCell ref="C39:E39"/>
    <mergeCell ref="C36:E36"/>
    <mergeCell ref="C37:D37"/>
    <mergeCell ref="C34:E34"/>
    <mergeCell ref="C46:J46"/>
    <mergeCell ref="C42:J42"/>
    <mergeCell ref="C43:J43"/>
    <mergeCell ref="C40:E40"/>
    <mergeCell ref="C6:D6"/>
    <mergeCell ref="C10:E10"/>
    <mergeCell ref="C20:E20"/>
    <mergeCell ref="C19:E19"/>
    <mergeCell ref="C16:E16"/>
    <mergeCell ref="C25:E25"/>
    <mergeCell ref="C44:J44"/>
    <mergeCell ref="C45:J45"/>
    <mergeCell ref="C26:E26"/>
    <mergeCell ref="C29:J29"/>
    <mergeCell ref="C27:E27"/>
    <mergeCell ref="C28:E28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264A-88C2-46C9-984B-818B873FD74C}">
  <dimension ref="A2:M19"/>
  <sheetViews>
    <sheetView topLeftCell="A10" zoomScale="120" zoomScaleNormal="120" zoomScalePageLayoutView="125" workbookViewId="0">
      <selection activeCell="C6" sqref="C6"/>
    </sheetView>
  </sheetViews>
  <sheetFormatPr defaultColWidth="8.77734375" defaultRowHeight="13.8" x14ac:dyDescent="0.25"/>
  <cols>
    <col min="1" max="1" width="8.77734375" style="250"/>
    <col min="2" max="2" width="19.21875" style="250" customWidth="1"/>
    <col min="3" max="3" width="13" style="250" customWidth="1"/>
    <col min="4" max="4" width="11.44140625" style="250" customWidth="1"/>
    <col min="5" max="5" width="12" style="250" customWidth="1"/>
    <col min="6" max="6" width="11.77734375" style="250" customWidth="1"/>
    <col min="7" max="7" width="11.44140625" style="250" customWidth="1"/>
    <col min="8" max="8" width="12.6640625" style="250" customWidth="1"/>
    <col min="9" max="9" width="14.44140625" style="251" customWidth="1"/>
    <col min="10" max="10" width="12" style="251" customWidth="1"/>
    <col min="11" max="11" width="4" style="250" customWidth="1"/>
    <col min="12" max="12" width="1.44140625" style="250" customWidth="1"/>
    <col min="13" max="16384" width="8.77734375" style="250"/>
  </cols>
  <sheetData>
    <row r="2" spans="1:13" x14ac:dyDescent="0.25">
      <c r="B2" s="307" t="s">
        <v>165</v>
      </c>
      <c r="D2" s="306"/>
    </row>
    <row r="4" spans="1:13" ht="14.4" thickBot="1" x14ac:dyDescent="0.3"/>
    <row r="5" spans="1:13" s="251" customFormat="1" ht="28.2" thickBot="1" x14ac:dyDescent="0.3">
      <c r="B5" s="273" t="s">
        <v>164</v>
      </c>
      <c r="C5" s="305">
        <v>5831500</v>
      </c>
      <c r="D5" s="304" t="s">
        <v>163</v>
      </c>
      <c r="E5" s="304" t="s">
        <v>162</v>
      </c>
      <c r="F5" s="304" t="s">
        <v>161</v>
      </c>
      <c r="G5" s="304" t="s">
        <v>134</v>
      </c>
      <c r="H5" s="304" t="s">
        <v>160</v>
      </c>
      <c r="I5" s="304" t="s">
        <v>159</v>
      </c>
      <c r="J5" s="304" t="s">
        <v>158</v>
      </c>
    </row>
    <row r="6" spans="1:13" ht="31.5" customHeight="1" thickBot="1" x14ac:dyDescent="0.3">
      <c r="B6" s="292" t="s">
        <v>157</v>
      </c>
      <c r="C6" s="291"/>
      <c r="D6" s="303">
        <f>'5 YEAR Pro-Forma'!F38</f>
        <v>806758</v>
      </c>
      <c r="E6" s="303">
        <f>'5 YEAR Pro-Forma'!G38</f>
        <v>893956.73999999953</v>
      </c>
      <c r="F6" s="303">
        <f>'5 YEAR Pro-Forma'!H38</f>
        <v>984513.09629999939</v>
      </c>
      <c r="G6" s="303">
        <f>'5 YEAR Pro-Forma'!I38</f>
        <v>1078551.240678499</v>
      </c>
      <c r="H6" s="303">
        <f>'5 YEAR Pro-Forma'!J38</f>
        <v>1176198.6477304064</v>
      </c>
      <c r="I6" s="302">
        <f>SUM(D6:H6)</f>
        <v>4939977.7247089036</v>
      </c>
      <c r="J6" s="301"/>
    </row>
    <row r="7" spans="1:13" ht="30.75" customHeight="1" thickBot="1" x14ac:dyDescent="0.3">
      <c r="B7" s="300" t="s">
        <v>156</v>
      </c>
      <c r="C7" s="299"/>
      <c r="D7" s="298">
        <f>'5 YEAR Pro-Forma'!F40</f>
        <v>0.14676097599310761</v>
      </c>
      <c r="E7" s="298">
        <f>'5 YEAR Pro-Forma'!G40</f>
        <v>0.16262369094327753</v>
      </c>
      <c r="F7" s="298">
        <f>'5 YEAR Pro-Forma'!H40</f>
        <v>0.17909720497470649</v>
      </c>
      <c r="G7" s="298">
        <f>'5 YEAR Pro-Forma'!I40</f>
        <v>0.19620410673405611</v>
      </c>
      <c r="H7" s="298">
        <f>'5 YEAR Pro-Forma'!J40</f>
        <v>0.21396758569817445</v>
      </c>
      <c r="I7" s="297">
        <f>SUM(D7:H7)</f>
        <v>0.89865356434332211</v>
      </c>
      <c r="J7" s="289">
        <f>I7</f>
        <v>0.89865356434332211</v>
      </c>
    </row>
    <row r="8" spans="1:13" ht="23.25" customHeight="1" thickBot="1" x14ac:dyDescent="0.3">
      <c r="B8" s="296" t="s">
        <v>155</v>
      </c>
      <c r="C8" s="295"/>
      <c r="D8" s="295"/>
      <c r="E8" s="295"/>
      <c r="F8" s="295"/>
      <c r="G8" s="295"/>
      <c r="H8" s="295"/>
      <c r="I8" s="294">
        <f>'Equity Return on Resale'!H12</f>
        <v>13649797.487658001</v>
      </c>
      <c r="J8" s="293">
        <f>I8/C5</f>
        <v>2.3407009324630028</v>
      </c>
    </row>
    <row r="9" spans="1:13" ht="37.5" customHeight="1" thickBot="1" x14ac:dyDescent="0.3">
      <c r="B9" s="292" t="s">
        <v>154</v>
      </c>
      <c r="C9" s="291"/>
      <c r="D9" s="291"/>
      <c r="E9" s="291"/>
      <c r="F9" s="291"/>
      <c r="G9" s="291"/>
      <c r="H9" s="291"/>
      <c r="I9" s="290">
        <f>I6+I8</f>
        <v>18589775.212366905</v>
      </c>
      <c r="J9" s="289">
        <f>SUM(J7:J8)</f>
        <v>3.239354496806325</v>
      </c>
      <c r="K9" s="284" t="s">
        <v>153</v>
      </c>
    </row>
    <row r="10" spans="1:13" ht="15" customHeight="1" thickBot="1" x14ac:dyDescent="0.3">
      <c r="B10" s="288"/>
      <c r="C10" s="287"/>
      <c r="D10" s="287"/>
      <c r="E10" s="287"/>
      <c r="F10" s="287"/>
      <c r="G10" s="287"/>
      <c r="H10" s="287"/>
      <c r="I10" s="286"/>
      <c r="J10" s="285"/>
      <c r="K10" s="284"/>
    </row>
    <row r="11" spans="1:13" s="278" customFormat="1" ht="18" customHeight="1" thickBot="1" x14ac:dyDescent="0.3">
      <c r="A11" s="279"/>
      <c r="B11" s="283" t="s">
        <v>152</v>
      </c>
      <c r="C11" s="282"/>
      <c r="D11" s="282"/>
      <c r="E11" s="282"/>
      <c r="F11" s="282"/>
      <c r="G11" s="282"/>
      <c r="H11" s="282"/>
      <c r="I11" s="281"/>
      <c r="J11" s="280"/>
      <c r="K11" s="279"/>
    </row>
    <row r="12" spans="1:13" s="251" customFormat="1" ht="43.5" customHeight="1" thickBot="1" x14ac:dyDescent="0.3">
      <c r="B12" s="277" t="s">
        <v>151</v>
      </c>
      <c r="C12" s="276"/>
      <c r="D12" s="275">
        <f t="shared" ref="D12:I12" si="0">100000*D7</f>
        <v>14676.09759931076</v>
      </c>
      <c r="E12" s="275">
        <f t="shared" si="0"/>
        <v>16262.369094327752</v>
      </c>
      <c r="F12" s="275">
        <f t="shared" si="0"/>
        <v>17909.720497470647</v>
      </c>
      <c r="G12" s="275">
        <f t="shared" si="0"/>
        <v>19620.410673405611</v>
      </c>
      <c r="H12" s="275">
        <f t="shared" si="0"/>
        <v>21396.758569817444</v>
      </c>
      <c r="I12" s="274">
        <f t="shared" si="0"/>
        <v>89865.356434332207</v>
      </c>
      <c r="J12" s="271">
        <f>I12</f>
        <v>89865.356434332207</v>
      </c>
    </row>
    <row r="13" spans="1:13" s="251" customFormat="1" ht="31.5" customHeight="1" thickBot="1" x14ac:dyDescent="0.3">
      <c r="B13" s="273" t="s">
        <v>150</v>
      </c>
      <c r="C13" s="272"/>
      <c r="D13" s="268"/>
      <c r="E13" s="268"/>
      <c r="F13" s="268"/>
      <c r="G13" s="268"/>
      <c r="H13" s="268"/>
      <c r="I13" s="266" t="s">
        <v>149</v>
      </c>
      <c r="J13" s="271">
        <f>I8/C5*100000</f>
        <v>234070.09324630027</v>
      </c>
      <c r="K13" s="264"/>
      <c r="L13" s="264"/>
      <c r="M13" s="264"/>
    </row>
    <row r="14" spans="1:13" s="251" customFormat="1" ht="27" customHeight="1" thickBot="1" x14ac:dyDescent="0.3">
      <c r="B14" s="270"/>
      <c r="C14" s="269"/>
      <c r="D14" s="268"/>
      <c r="E14" s="268"/>
      <c r="F14" s="267"/>
      <c r="G14" s="267"/>
      <c r="H14" s="267"/>
      <c r="I14" s="266" t="s">
        <v>148</v>
      </c>
      <c r="J14" s="265">
        <f>SUM(J12:J13)</f>
        <v>323935.44968063245</v>
      </c>
      <c r="K14" s="264"/>
      <c r="L14" s="264"/>
      <c r="M14" s="264"/>
    </row>
    <row r="15" spans="1:13" x14ac:dyDescent="0.25">
      <c r="B15" s="263" t="s">
        <v>147</v>
      </c>
      <c r="C15" s="260"/>
      <c r="D15" s="260"/>
      <c r="E15" s="260"/>
      <c r="F15" s="260"/>
      <c r="G15" s="260"/>
      <c r="H15" s="259"/>
      <c r="I15" s="262">
        <f>J9/5</f>
        <v>0.64787089936126496</v>
      </c>
      <c r="J15" s="258"/>
      <c r="K15" s="253"/>
      <c r="L15" s="253"/>
      <c r="M15" s="253"/>
    </row>
    <row r="16" spans="1:13" x14ac:dyDescent="0.25">
      <c r="B16" s="261" t="s">
        <v>146</v>
      </c>
      <c r="C16" s="260"/>
      <c r="D16" s="260"/>
      <c r="E16" s="260"/>
      <c r="F16" s="260"/>
      <c r="G16" s="260"/>
      <c r="H16" s="259"/>
      <c r="I16" s="259"/>
      <c r="J16" s="258"/>
      <c r="K16" s="253"/>
      <c r="L16" s="253"/>
      <c r="M16" s="253"/>
    </row>
    <row r="17" spans="2:13" x14ac:dyDescent="0.25">
      <c r="B17" s="261" t="s">
        <v>145</v>
      </c>
      <c r="C17" s="260"/>
      <c r="D17" s="260"/>
      <c r="E17" s="260"/>
      <c r="F17" s="260"/>
      <c r="G17" s="260"/>
      <c r="H17" s="259"/>
      <c r="I17" s="259"/>
      <c r="J17" s="258"/>
      <c r="K17" s="253"/>
      <c r="L17" s="253"/>
      <c r="M17" s="253"/>
    </row>
    <row r="18" spans="2:13" ht="14.4" thickBot="1" x14ac:dyDescent="0.3">
      <c r="B18" s="257" t="s">
        <v>144</v>
      </c>
      <c r="C18" s="256"/>
      <c r="D18" s="256"/>
      <c r="E18" s="256"/>
      <c r="F18" s="256"/>
      <c r="G18" s="256"/>
      <c r="H18" s="255"/>
      <c r="I18" s="255"/>
      <c r="J18" s="254"/>
      <c r="K18" s="253"/>
      <c r="L18" s="253"/>
      <c r="M18" s="253"/>
    </row>
    <row r="19" spans="2:13" x14ac:dyDescent="0.25">
      <c r="K19" s="252"/>
      <c r="L19" s="252"/>
      <c r="M19" s="25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FB3D-A496-4160-8202-F4FA05B90C07}">
  <sheetPr>
    <tabColor theme="9" tint="0.39997558519241921"/>
    <pageSetUpPr fitToPage="1"/>
  </sheetPr>
  <dimension ref="B1:O30"/>
  <sheetViews>
    <sheetView tabSelected="1" topLeftCell="A10" workbookViewId="0">
      <selection activeCell="F20" sqref="F20"/>
    </sheetView>
  </sheetViews>
  <sheetFormatPr defaultColWidth="9.109375" defaultRowHeight="27" customHeight="1" x14ac:dyDescent="0.3"/>
  <cols>
    <col min="1" max="1" width="9.109375" style="353"/>
    <col min="2" max="2" width="3.6640625" style="353" customWidth="1"/>
    <col min="3" max="3" width="9.109375" style="353" hidden="1" customWidth="1"/>
    <col min="4" max="4" width="44.5546875" style="353" customWidth="1"/>
    <col min="5" max="5" width="9.44140625" style="353" customWidth="1"/>
    <col min="6" max="6" width="24" style="353" customWidth="1"/>
    <col min="7" max="7" width="18.88671875" style="353" customWidth="1"/>
    <col min="8" max="8" width="18" style="404" bestFit="1" customWidth="1"/>
    <col min="9" max="12" width="17.6640625" style="353" bestFit="1" customWidth="1"/>
    <col min="13" max="13" width="9.109375" style="353"/>
    <col min="14" max="14" width="1.44140625" style="353" bestFit="1" customWidth="1"/>
    <col min="15" max="16384" width="9.109375" style="353"/>
  </cols>
  <sheetData>
    <row r="1" spans="4:15" ht="19.5" customHeight="1" x14ac:dyDescent="0.3"/>
    <row r="2" spans="4:15" ht="27" hidden="1" customHeight="1" x14ac:dyDescent="0.3"/>
    <row r="3" spans="4:15" ht="27" customHeight="1" x14ac:dyDescent="0.5">
      <c r="D3" s="394" t="s">
        <v>170</v>
      </c>
      <c r="E3" s="393"/>
    </row>
    <row r="4" spans="4:15" ht="27" customHeight="1" x14ac:dyDescent="0.35">
      <c r="D4" s="635" t="s">
        <v>228</v>
      </c>
      <c r="E4" s="635"/>
      <c r="F4" s="635"/>
      <c r="G4" s="392">
        <f>E6+0.0025</f>
        <v>5.2500000000000005E-2</v>
      </c>
      <c r="H4" s="405">
        <f>G4+0.0025</f>
        <v>5.5000000000000007E-2</v>
      </c>
      <c r="I4" s="392">
        <f>H4+0.0025</f>
        <v>5.7500000000000009E-2</v>
      </c>
      <c r="J4" s="399">
        <f>I4+0.0025</f>
        <v>6.0000000000000012E-2</v>
      </c>
      <c r="K4" s="392">
        <f>J4+0.0025</f>
        <v>6.2500000000000014E-2</v>
      </c>
      <c r="L4" s="392">
        <f>K4+0.0025</f>
        <v>6.5000000000000016E-2</v>
      </c>
      <c r="M4" s="391"/>
      <c r="N4" s="390" t="s">
        <v>108</v>
      </c>
      <c r="O4" s="390"/>
    </row>
    <row r="5" spans="4:15" ht="27" customHeight="1" x14ac:dyDescent="0.3">
      <c r="D5" s="385" t="s">
        <v>169</v>
      </c>
      <c r="E5" s="389"/>
      <c r="F5" s="388">
        <f>'5 YEAR Pro-Forma'!J30</f>
        <v>2322998.6477304064</v>
      </c>
      <c r="G5" s="388">
        <f t="shared" ref="G5:L5" si="0">$F$5</f>
        <v>2322998.6477304064</v>
      </c>
      <c r="H5" s="406">
        <f t="shared" si="0"/>
        <v>2322998.6477304064</v>
      </c>
      <c r="I5" s="388">
        <f t="shared" si="0"/>
        <v>2322998.6477304064</v>
      </c>
      <c r="J5" s="388">
        <f t="shared" si="0"/>
        <v>2322998.6477304064</v>
      </c>
      <c r="K5" s="388">
        <f t="shared" si="0"/>
        <v>2322998.6477304064</v>
      </c>
      <c r="L5" s="388">
        <f t="shared" si="0"/>
        <v>2322998.6477304064</v>
      </c>
    </row>
    <row r="6" spans="4:15" ht="27" customHeight="1" x14ac:dyDescent="0.3">
      <c r="D6" s="382" t="s">
        <v>168</v>
      </c>
      <c r="E6" s="387">
        <v>0.05</v>
      </c>
      <c r="F6" s="386">
        <f>F5/E6</f>
        <v>46459972.954608127</v>
      </c>
      <c r="G6" s="386">
        <f t="shared" ref="G6:L6" si="1">G5/G4</f>
        <v>44247593.290102974</v>
      </c>
      <c r="H6" s="407">
        <f t="shared" si="1"/>
        <v>42236339.049643748</v>
      </c>
      <c r="I6" s="386">
        <f t="shared" si="1"/>
        <v>40399976.482267931</v>
      </c>
      <c r="J6" s="386">
        <f t="shared" si="1"/>
        <v>38716644.128840096</v>
      </c>
      <c r="K6" s="386">
        <f t="shared" si="1"/>
        <v>37167978.363686495</v>
      </c>
      <c r="L6" s="386">
        <f t="shared" si="1"/>
        <v>35738440.734313935</v>
      </c>
    </row>
    <row r="7" spans="4:15" ht="27" customHeight="1" x14ac:dyDescent="0.3">
      <c r="D7" s="385" t="s">
        <v>167</v>
      </c>
      <c r="E7" s="384">
        <v>0.02</v>
      </c>
      <c r="F7" s="383">
        <f>F6*E7</f>
        <v>929199.45909216255</v>
      </c>
      <c r="G7" s="395">
        <f>G6*E7</f>
        <v>884951.86580205953</v>
      </c>
      <c r="H7" s="408">
        <f>H6*E7</f>
        <v>844726.78099287499</v>
      </c>
      <c r="I7" s="396">
        <f>I6*E7</f>
        <v>807999.52964535868</v>
      </c>
      <c r="J7" s="400">
        <f>J6*E7</f>
        <v>774332.88257680193</v>
      </c>
      <c r="K7" s="396">
        <f>K6*E7</f>
        <v>743359.56727372995</v>
      </c>
      <c r="L7" s="396">
        <f>L6*E7</f>
        <v>714768.8146862787</v>
      </c>
    </row>
    <row r="8" spans="4:15" ht="27" customHeight="1" x14ac:dyDescent="0.3">
      <c r="D8" s="382" t="s">
        <v>166</v>
      </c>
      <c r="E8" s="381">
        <v>0.01</v>
      </c>
      <c r="F8" s="380">
        <f>F6*E8</f>
        <v>464599.72954608127</v>
      </c>
      <c r="G8" s="380">
        <f>G6*E8</f>
        <v>442475.93290102977</v>
      </c>
      <c r="H8" s="409">
        <f>H6*E8</f>
        <v>422363.3904964375</v>
      </c>
      <c r="I8" s="380">
        <f>I6*E8</f>
        <v>403999.76482267934</v>
      </c>
      <c r="J8" s="380">
        <f>J6*E8</f>
        <v>387166.44128840097</v>
      </c>
      <c r="K8" s="380">
        <f>K6*E8</f>
        <v>371679.78363686497</v>
      </c>
      <c r="L8" s="380">
        <f>L6*E8</f>
        <v>357384.40734313935</v>
      </c>
    </row>
    <row r="9" spans="4:15" ht="27" customHeight="1" x14ac:dyDescent="0.3">
      <c r="D9" s="382" t="s">
        <v>227</v>
      </c>
      <c r="E9" s="381">
        <v>0.01</v>
      </c>
      <c r="F9" s="380">
        <f>F6*E9</f>
        <v>464599.72954608127</v>
      </c>
      <c r="G9" s="380">
        <f>G6*E9</f>
        <v>442475.93290102977</v>
      </c>
      <c r="H9" s="409">
        <f>H6*E9</f>
        <v>422363.3904964375</v>
      </c>
      <c r="I9" s="380">
        <f>I6*E9</f>
        <v>403999.76482267934</v>
      </c>
      <c r="J9" s="380">
        <f>J6*E9</f>
        <v>387166.44128840097</v>
      </c>
      <c r="K9" s="380">
        <f>K6*E9</f>
        <v>371679.78363686497</v>
      </c>
      <c r="L9" s="380">
        <f>L6*E9</f>
        <v>357384.40734313935</v>
      </c>
    </row>
    <row r="10" spans="4:15" ht="27" customHeight="1" x14ac:dyDescent="0.3">
      <c r="D10" s="379" t="s">
        <v>226</v>
      </c>
      <c r="E10" s="378"/>
      <c r="F10" s="377">
        <f>'Mortgage Amortization'!E4</f>
        <v>21400000</v>
      </c>
      <c r="G10" s="377">
        <f t="shared" ref="G10:L10" si="2">$F$10</f>
        <v>21400000</v>
      </c>
      <c r="H10" s="410">
        <f t="shared" si="2"/>
        <v>21400000</v>
      </c>
      <c r="I10" s="377">
        <f t="shared" si="2"/>
        <v>21400000</v>
      </c>
      <c r="J10" s="377">
        <f t="shared" si="2"/>
        <v>21400000</v>
      </c>
      <c r="K10" s="377">
        <f t="shared" si="2"/>
        <v>21400000</v>
      </c>
      <c r="L10" s="376">
        <f t="shared" si="2"/>
        <v>21400000</v>
      </c>
    </row>
    <row r="11" spans="4:15" ht="27" customHeight="1" x14ac:dyDescent="0.3">
      <c r="D11" s="375" t="s">
        <v>225</v>
      </c>
      <c r="E11" s="374"/>
      <c r="F11" s="373">
        <f t="shared" ref="F11:L11" si="3">F6-F7-F10-F8-F9</f>
        <v>23201574.036423802</v>
      </c>
      <c r="G11" s="373">
        <f t="shared" si="3"/>
        <v>21077689.558498859</v>
      </c>
      <c r="H11" s="411">
        <f t="shared" si="3"/>
        <v>19146885.487658001</v>
      </c>
      <c r="I11" s="373">
        <f t="shared" si="3"/>
        <v>17383977.422977209</v>
      </c>
      <c r="J11" s="373">
        <f t="shared" si="3"/>
        <v>15767978.363686495</v>
      </c>
      <c r="K11" s="373">
        <f t="shared" si="3"/>
        <v>14281259.229139037</v>
      </c>
      <c r="L11" s="373">
        <f t="shared" si="3"/>
        <v>12908903.104941379</v>
      </c>
    </row>
    <row r="12" spans="4:15" s="308" customFormat="1" ht="27" customHeight="1" x14ac:dyDescent="0.3">
      <c r="D12" s="372" t="s">
        <v>224</v>
      </c>
      <c r="E12" s="368"/>
      <c r="F12" s="397">
        <f>F11-'5 YEAR Pro-Forma'!F39</f>
        <v>17704486.036423802</v>
      </c>
      <c r="G12" s="397">
        <f>G11-'5 YEAR Pro-Forma'!G39</f>
        <v>15580601.558498859</v>
      </c>
      <c r="H12" s="412">
        <f>H11-'5 YEAR Pro-Forma'!H39</f>
        <v>13649797.487658001</v>
      </c>
      <c r="I12" s="397">
        <f>I11-'5 YEAR Pro-Forma'!I39</f>
        <v>11886889.422977209</v>
      </c>
      <c r="J12" s="401">
        <f>J11-'5 YEAR Pro-Forma'!J39</f>
        <v>10270890.363686495</v>
      </c>
      <c r="K12" s="397">
        <f>K11-'5 YEAR Pro-Forma'!F39</f>
        <v>8784171.2291390374</v>
      </c>
      <c r="L12" s="397">
        <f>L11-'5 YEAR Pro-Forma'!F39</f>
        <v>7411815.1049413793</v>
      </c>
    </row>
    <row r="13" spans="4:15" s="308" customFormat="1" ht="27" customHeight="1" x14ac:dyDescent="0.3">
      <c r="D13" s="366" t="s">
        <v>223</v>
      </c>
      <c r="E13" s="371">
        <v>0</v>
      </c>
      <c r="F13" s="370">
        <f t="shared" ref="F13:L13" si="4">$E$13*F12</f>
        <v>0</v>
      </c>
      <c r="G13" s="370">
        <f t="shared" si="4"/>
        <v>0</v>
      </c>
      <c r="H13" s="413">
        <f t="shared" si="4"/>
        <v>0</v>
      </c>
      <c r="I13" s="370">
        <f t="shared" si="4"/>
        <v>0</v>
      </c>
      <c r="J13" s="402">
        <f t="shared" si="4"/>
        <v>0</v>
      </c>
      <c r="K13" s="370">
        <f t="shared" si="4"/>
        <v>0</v>
      </c>
      <c r="L13" s="370">
        <f t="shared" si="4"/>
        <v>0</v>
      </c>
    </row>
    <row r="14" spans="4:15" s="308" customFormat="1" ht="27" customHeight="1" x14ac:dyDescent="0.3">
      <c r="D14" s="366" t="s">
        <v>222</v>
      </c>
      <c r="E14" s="371">
        <f>1-$E$13</f>
        <v>1</v>
      </c>
      <c r="F14" s="370">
        <f t="shared" ref="F14:L14" si="5">F12*$E$14</f>
        <v>17704486.036423802</v>
      </c>
      <c r="G14" s="370">
        <f t="shared" si="5"/>
        <v>15580601.558498859</v>
      </c>
      <c r="H14" s="413">
        <f t="shared" si="5"/>
        <v>13649797.487658001</v>
      </c>
      <c r="I14" s="370">
        <f t="shared" si="5"/>
        <v>11886889.422977209</v>
      </c>
      <c r="J14" s="402">
        <f t="shared" si="5"/>
        <v>10270890.363686495</v>
      </c>
      <c r="K14" s="370">
        <f t="shared" si="5"/>
        <v>8784171.2291390374</v>
      </c>
      <c r="L14" s="370">
        <f t="shared" si="5"/>
        <v>7411815.1049413793</v>
      </c>
    </row>
    <row r="15" spans="4:15" s="308" customFormat="1" ht="27" customHeight="1" x14ac:dyDescent="0.3">
      <c r="D15" s="366"/>
      <c r="E15" s="368"/>
      <c r="F15" s="369"/>
      <c r="G15" s="368"/>
      <c r="H15" s="414"/>
      <c r="I15" s="368"/>
      <c r="J15" s="403"/>
      <c r="K15" s="368"/>
      <c r="L15" s="368"/>
    </row>
    <row r="16" spans="4:15" s="308" customFormat="1" ht="27" customHeight="1" x14ac:dyDescent="0.3">
      <c r="D16" s="366" t="s">
        <v>221</v>
      </c>
      <c r="E16" s="368"/>
      <c r="F16" s="367">
        <f>F14/'5 YEAR Pro-Forma'!F39</f>
        <v>3.2207026768397746</v>
      </c>
      <c r="G16" s="367">
        <f>G14/'5 YEAR Pro-Forma'!G39</f>
        <v>2.8343372997665055</v>
      </c>
      <c r="H16" s="415">
        <f>H14/'5 YEAR Pro-Forma'!H39</f>
        <v>2.4830960478817152</v>
      </c>
      <c r="I16" s="367">
        <f>I14/'5 YEAR Pro-Forma'!I39</f>
        <v>2.1623975135521225</v>
      </c>
      <c r="J16" s="398">
        <f>J14/'5 YEAR Pro-Forma'!J39</f>
        <v>1.8684238570833311</v>
      </c>
      <c r="K16" s="367">
        <f>K14/'5 YEAR Pro-Forma'!F39</f>
        <v>1.5979680931320432</v>
      </c>
      <c r="L16" s="367">
        <f>L14/'5 YEAR Pro-Forma'!F39</f>
        <v>1.3483166187154689</v>
      </c>
    </row>
    <row r="17" spans="2:12" s="308" customFormat="1" ht="27" customHeight="1" x14ac:dyDescent="0.3">
      <c r="D17" s="366" t="s">
        <v>220</v>
      </c>
      <c r="E17" s="368"/>
      <c r="F17" s="367">
        <f t="shared" ref="F17:L17" si="6">F16/5</f>
        <v>0.6441405353679549</v>
      </c>
      <c r="G17" s="367">
        <f t="shared" si="6"/>
        <v>0.56686745995330112</v>
      </c>
      <c r="H17" s="415">
        <f t="shared" si="6"/>
        <v>0.49661920957634303</v>
      </c>
      <c r="I17" s="367">
        <f t="shared" si="6"/>
        <v>0.43247950271042451</v>
      </c>
      <c r="J17" s="398">
        <f t="shared" si="6"/>
        <v>0.37368477141666623</v>
      </c>
      <c r="K17" s="367">
        <f t="shared" si="6"/>
        <v>0.31959361862640867</v>
      </c>
      <c r="L17" s="367">
        <f t="shared" si="6"/>
        <v>0.26966332374309376</v>
      </c>
    </row>
    <row r="18" spans="2:12" s="308" customFormat="1" ht="27" customHeight="1" x14ac:dyDescent="0.3">
      <c r="D18" s="366"/>
      <c r="F18" s="365"/>
      <c r="H18" s="416"/>
    </row>
    <row r="19" spans="2:12" s="308" customFormat="1" ht="27" customHeight="1" x14ac:dyDescent="0.4">
      <c r="D19" s="362" t="s">
        <v>219</v>
      </c>
      <c r="E19" s="361"/>
      <c r="F19" s="360">
        <v>21400000</v>
      </c>
      <c r="H19" s="416"/>
    </row>
    <row r="20" spans="2:12" s="308" customFormat="1" ht="27" customHeight="1" x14ac:dyDescent="0.4">
      <c r="D20" s="362" t="s">
        <v>218</v>
      </c>
      <c r="E20" s="361"/>
      <c r="F20" s="364">
        <v>0.05</v>
      </c>
      <c r="H20" s="416"/>
    </row>
    <row r="21" spans="2:12" s="308" customFormat="1" ht="27" customHeight="1" x14ac:dyDescent="0.4">
      <c r="D21" s="362" t="s">
        <v>217</v>
      </c>
      <c r="E21" s="361"/>
      <c r="F21" s="363">
        <v>30</v>
      </c>
      <c r="H21" s="416"/>
    </row>
    <row r="22" spans="2:12" s="308" customFormat="1" ht="27" customHeight="1" x14ac:dyDescent="0.4">
      <c r="D22" s="362" t="s">
        <v>216</v>
      </c>
      <c r="E22" s="361"/>
      <c r="F22" s="360">
        <f>'[1]5 yr Proj'!E31</f>
        <v>446896.44326642674</v>
      </c>
      <c r="G22" s="359"/>
      <c r="H22" s="417"/>
    </row>
    <row r="23" spans="2:12" s="308" customFormat="1" ht="27" customHeight="1" x14ac:dyDescent="0.4">
      <c r="D23" s="362" t="s">
        <v>229</v>
      </c>
      <c r="E23" s="361"/>
      <c r="F23" s="360">
        <f>FV(F20/12,F21*12,F22/12,-F19)</f>
        <v>64615276.317997217</v>
      </c>
      <c r="G23" s="353"/>
      <c r="H23" s="417"/>
    </row>
    <row r="24" spans="2:12" s="308" customFormat="1" ht="27" customHeight="1" x14ac:dyDescent="0.3">
      <c r="F24" s="358"/>
      <c r="H24" s="416"/>
    </row>
    <row r="25" spans="2:12" s="308" customFormat="1" ht="27" customHeight="1" x14ac:dyDescent="0.3">
      <c r="H25" s="416"/>
    </row>
    <row r="26" spans="2:12" ht="27" customHeight="1" x14ac:dyDescent="0.3">
      <c r="B26" s="354"/>
      <c r="C26" s="354"/>
      <c r="D26" s="354"/>
      <c r="E26" s="354"/>
      <c r="F26" s="354"/>
    </row>
    <row r="27" spans="2:12" ht="27" customHeight="1" x14ac:dyDescent="0.5">
      <c r="B27" s="354"/>
      <c r="C27" s="354"/>
      <c r="D27" s="357"/>
      <c r="E27" s="354"/>
      <c r="F27" s="354"/>
    </row>
    <row r="28" spans="2:12" ht="27" customHeight="1" x14ac:dyDescent="0.4">
      <c r="B28" s="354"/>
      <c r="C28" s="354"/>
      <c r="D28" s="355"/>
      <c r="E28" s="354"/>
      <c r="F28" s="356"/>
    </row>
    <row r="29" spans="2:12" ht="27" customHeight="1" x14ac:dyDescent="0.4">
      <c r="B29" s="354"/>
      <c r="C29" s="354"/>
      <c r="D29" s="355"/>
      <c r="E29" s="354"/>
      <c r="F29" s="356"/>
    </row>
    <row r="30" spans="2:12" ht="27" customHeight="1" x14ac:dyDescent="0.3">
      <c r="B30" s="354"/>
      <c r="C30" s="354"/>
      <c r="D30" s="355"/>
      <c r="E30" s="354"/>
      <c r="F30" s="354"/>
    </row>
  </sheetData>
  <mergeCells count="1">
    <mergeCell ref="D4:F4"/>
  </mergeCells>
  <pageMargins left="0.25" right="0.25" top="0.75" bottom="0.75" header="0.3" footer="0.3"/>
  <pageSetup scale="64" orientation="landscape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DDEB-BB14-494F-9FB9-A8F012142D4A}">
  <sheetPr>
    <pageSetUpPr autoPageBreaks="0"/>
  </sheetPr>
  <dimension ref="A1:Q234"/>
  <sheetViews>
    <sheetView showGridLines="0" topLeftCell="A7" workbookViewId="0">
      <selection activeCell="E5" sqref="E5"/>
    </sheetView>
  </sheetViews>
  <sheetFormatPr defaultColWidth="8.77734375" defaultRowHeight="13.2" x14ac:dyDescent="0.25"/>
  <cols>
    <col min="1" max="1" width="1.77734375" style="309" customWidth="1"/>
    <col min="2" max="2" width="6.21875" style="309" customWidth="1"/>
    <col min="3" max="3" width="13.77734375" style="309" bestFit="1" customWidth="1"/>
    <col min="4" max="5" width="14.44140625" style="309" bestFit="1" customWidth="1"/>
    <col min="6" max="6" width="11.77734375" style="309" customWidth="1"/>
    <col min="7" max="7" width="12.77734375" style="309" bestFit="1" customWidth="1"/>
    <col min="8" max="8" width="13.77734375" style="309" bestFit="1" customWidth="1"/>
    <col min="9" max="9" width="13.77734375" style="309" customWidth="1"/>
    <col min="10" max="10" width="14.44140625" style="309" customWidth="1"/>
    <col min="11" max="11" width="4.77734375" style="309" customWidth="1"/>
    <col min="12" max="16384" width="8.77734375" style="309"/>
  </cols>
  <sheetData>
    <row r="1" spans="1:17" ht="49.05" customHeight="1" x14ac:dyDescent="0.4">
      <c r="A1" s="350"/>
      <c r="B1" s="352" t="s">
        <v>215</v>
      </c>
      <c r="C1" s="351"/>
      <c r="D1" s="351"/>
      <c r="E1" s="351"/>
      <c r="F1" s="351"/>
      <c r="G1" s="351"/>
      <c r="H1" s="351"/>
      <c r="I1" s="351"/>
      <c r="J1" s="351"/>
      <c r="K1" s="350"/>
      <c r="L1" s="348"/>
      <c r="M1" s="348"/>
      <c r="N1" s="349"/>
      <c r="O1" s="349"/>
      <c r="P1" s="349"/>
      <c r="Q1" s="348"/>
    </row>
    <row r="2" spans="1:17" ht="4.5" customHeight="1" x14ac:dyDescent="0.25">
      <c r="A2" s="337"/>
      <c r="B2" s="347"/>
      <c r="C2" s="346"/>
      <c r="D2" s="346"/>
      <c r="E2" s="346"/>
      <c r="F2" s="346"/>
      <c r="G2" s="346"/>
      <c r="H2" s="346"/>
      <c r="I2" s="346"/>
      <c r="J2" s="346"/>
      <c r="K2" s="337"/>
      <c r="L2" s="313"/>
      <c r="M2" s="313"/>
      <c r="N2" s="322"/>
      <c r="O2" s="322"/>
      <c r="P2" s="322"/>
      <c r="Q2" s="313"/>
    </row>
    <row r="3" spans="1:17" ht="18" customHeight="1" x14ac:dyDescent="0.25">
      <c r="A3" s="337"/>
      <c r="B3" s="636" t="s">
        <v>214</v>
      </c>
      <c r="C3" s="637"/>
      <c r="D3" s="637"/>
      <c r="E3" s="638"/>
      <c r="F3" s="337"/>
      <c r="G3" s="636" t="s">
        <v>213</v>
      </c>
      <c r="H3" s="637"/>
      <c r="I3" s="637"/>
      <c r="J3" s="638"/>
      <c r="K3" s="313"/>
      <c r="L3" s="313"/>
      <c r="M3" s="313"/>
      <c r="N3" s="322"/>
      <c r="O3" s="322"/>
      <c r="P3" s="322"/>
      <c r="Q3" s="313"/>
    </row>
    <row r="4" spans="1:17" ht="12" customHeight="1" x14ac:dyDescent="0.25">
      <c r="A4" s="326"/>
      <c r="B4" s="639" t="s">
        <v>212</v>
      </c>
      <c r="C4" s="640"/>
      <c r="D4" s="641"/>
      <c r="E4" s="345">
        <v>21400000</v>
      </c>
      <c r="F4" s="337"/>
      <c r="G4" s="639" t="s">
        <v>211</v>
      </c>
      <c r="H4" s="640"/>
      <c r="I4" s="641"/>
      <c r="J4" s="339">
        <f>IF(AND(ISNUMBER(E4),ISNUMBER(E5),ISNUMBER(E6),ISNUMBER(E7)),J5*12,"")</f>
        <v>1378557.96</v>
      </c>
      <c r="K4" s="324"/>
      <c r="L4" s="324"/>
      <c r="M4" s="324"/>
      <c r="N4" s="325"/>
      <c r="O4" s="325"/>
      <c r="P4" s="325"/>
      <c r="Q4" s="324"/>
    </row>
    <row r="5" spans="1:17" ht="12" customHeight="1" x14ac:dyDescent="0.25">
      <c r="A5" s="326"/>
      <c r="B5" s="639" t="s">
        <v>210</v>
      </c>
      <c r="C5" s="640"/>
      <c r="D5" s="641"/>
      <c r="E5" s="344">
        <v>0.05</v>
      </c>
      <c r="F5" s="337"/>
      <c r="G5" s="639" t="s">
        <v>209</v>
      </c>
      <c r="H5" s="640"/>
      <c r="I5" s="641"/>
      <c r="J5" s="339">
        <f>IF(AND(ISNUMBER(E4),ISNUMBER(E5),ISNUMBER(E6),ISNUMBER(E7)),ROUND(PMT(E5/12,Q208,-E4),2),"")</f>
        <v>114879.83</v>
      </c>
      <c r="K5" s="324"/>
      <c r="L5" s="324"/>
      <c r="M5" s="324"/>
      <c r="N5" s="325"/>
      <c r="O5" s="325"/>
      <c r="P5" s="325"/>
      <c r="Q5" s="324"/>
    </row>
    <row r="6" spans="1:17" ht="12" customHeight="1" x14ac:dyDescent="0.25">
      <c r="A6" s="326"/>
      <c r="B6" s="639" t="s">
        <v>208</v>
      </c>
      <c r="C6" s="640"/>
      <c r="D6" s="641"/>
      <c r="E6" s="342">
        <v>30</v>
      </c>
      <c r="F6" s="337"/>
      <c r="G6" s="639" t="s">
        <v>207</v>
      </c>
      <c r="H6" s="640"/>
      <c r="I6" s="641"/>
      <c r="J6" s="339">
        <f>IF(AND(ISNUMBER(E4),ISNUMBER(E5),ISNUMBER(E6),ISNUMBER(E7)),VLOOKUP("Dec",C12:J23,7,0),"")</f>
        <v>1062829.74</v>
      </c>
      <c r="K6" s="324"/>
      <c r="L6" s="324"/>
      <c r="M6" s="324"/>
      <c r="N6" s="325"/>
      <c r="O6" s="325"/>
      <c r="P6" s="325"/>
      <c r="Q6" s="324"/>
    </row>
    <row r="7" spans="1:17" ht="12" customHeight="1" x14ac:dyDescent="0.25">
      <c r="A7" s="326"/>
      <c r="B7" s="639" t="s">
        <v>206</v>
      </c>
      <c r="C7" s="640"/>
      <c r="D7" s="641"/>
      <c r="E7" s="343">
        <v>2020</v>
      </c>
      <c r="F7" s="337"/>
      <c r="G7" s="639" t="s">
        <v>205</v>
      </c>
      <c r="H7" s="640"/>
      <c r="I7" s="641"/>
      <c r="J7" s="339">
        <f>IF(AND(ISNUMBER(E4),ISNUMBER(E5),ISNUMBER(E6),ISNUMBER(E7)),MAX(I23,H27:H56),"")</f>
        <v>19956738.800000008</v>
      </c>
      <c r="K7" s="324"/>
      <c r="L7" s="324"/>
      <c r="M7" s="324"/>
      <c r="N7" s="325"/>
      <c r="O7" s="325"/>
      <c r="P7" s="325"/>
      <c r="Q7" s="324"/>
    </row>
    <row r="8" spans="1:17" ht="12" customHeight="1" x14ac:dyDescent="0.25">
      <c r="A8" s="326"/>
      <c r="B8" s="639" t="s">
        <v>204</v>
      </c>
      <c r="C8" s="640"/>
      <c r="D8" s="641"/>
      <c r="E8" s="342" t="s">
        <v>230</v>
      </c>
      <c r="F8" s="337"/>
      <c r="G8" s="639" t="s">
        <v>203</v>
      </c>
      <c r="H8" s="640"/>
      <c r="I8" s="641"/>
      <c r="J8" s="339">
        <f>IF(AND(ISNUMBER(E4),ISNUMBER(E5),ISNUMBER(E6),ISNUMBER(E7)),J7+E4,"")</f>
        <v>41356738.800000012</v>
      </c>
      <c r="K8" s="326"/>
      <c r="L8" s="324"/>
      <c r="M8" s="324"/>
      <c r="N8" s="325"/>
      <c r="O8" s="325"/>
      <c r="P8" s="325"/>
      <c r="Q8" s="324"/>
    </row>
    <row r="9" spans="1:17" ht="10.050000000000001" customHeight="1" x14ac:dyDescent="0.25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13"/>
      <c r="M9" s="313"/>
      <c r="N9" s="322"/>
      <c r="O9" s="322"/>
      <c r="P9" s="322"/>
      <c r="Q9" s="313"/>
    </row>
    <row r="10" spans="1:17" ht="18" customHeight="1" x14ac:dyDescent="0.25">
      <c r="A10" s="337"/>
      <c r="B10" s="636" t="s">
        <v>202</v>
      </c>
      <c r="C10" s="637"/>
      <c r="D10" s="637"/>
      <c r="E10" s="637"/>
      <c r="F10" s="637"/>
      <c r="G10" s="637"/>
      <c r="H10" s="637"/>
      <c r="I10" s="637"/>
      <c r="J10" s="638"/>
      <c r="K10" s="337"/>
      <c r="L10" s="313"/>
      <c r="M10" s="313"/>
      <c r="N10" s="322"/>
      <c r="O10" s="322"/>
      <c r="P10" s="322"/>
      <c r="Q10" s="313"/>
    </row>
    <row r="11" spans="1:17" ht="27" customHeight="1" x14ac:dyDescent="0.25">
      <c r="A11" s="332"/>
      <c r="B11" s="336" t="s">
        <v>196</v>
      </c>
      <c r="C11" s="334" t="s">
        <v>201</v>
      </c>
      <c r="D11" s="334" t="s">
        <v>195</v>
      </c>
      <c r="E11" s="334" t="s">
        <v>200</v>
      </c>
      <c r="F11" s="334" t="s">
        <v>199</v>
      </c>
      <c r="G11" s="334" t="s">
        <v>198</v>
      </c>
      <c r="H11" s="334" t="s">
        <v>191</v>
      </c>
      <c r="I11" s="334" t="s">
        <v>190</v>
      </c>
      <c r="J11" s="341" t="s">
        <v>189</v>
      </c>
      <c r="K11" s="332"/>
      <c r="L11" s="330"/>
      <c r="M11" s="330"/>
      <c r="N11" s="331"/>
      <c r="O11" s="331"/>
      <c r="P11" s="331"/>
      <c r="Q11" s="330"/>
    </row>
    <row r="12" spans="1:17" ht="11.85" customHeight="1" x14ac:dyDescent="0.25">
      <c r="A12" s="326"/>
      <c r="B12" s="328">
        <f>IF(SUM(O192)=1,E7,"")</f>
        <v>2020</v>
      </c>
      <c r="C12" s="340" t="str">
        <f>VLOOKUP(O192,M192:N203,2)</f>
        <v>Jan</v>
      </c>
      <c r="D12" s="339">
        <f>IF(ISTEXT(J4),"",E4)</f>
        <v>21400000</v>
      </c>
      <c r="E12" s="339">
        <f t="shared" ref="E12:E23" si="0">IF(ISTEXT(J$5),"",J$5)</f>
        <v>114879.83</v>
      </c>
      <c r="F12" s="339">
        <f t="shared" ref="F12:F23" si="1">IF(ISTEXT(J$4),"",E12-G12)</f>
        <v>25713.160000000003</v>
      </c>
      <c r="G12" s="339">
        <f t="shared" ref="G12:G23" si="2">IF(ISTEXT(J$4),"",ROUND(D12*(E$5/12),2))</f>
        <v>89166.67</v>
      </c>
      <c r="H12" s="339">
        <f>IF(ISTEXT($J$4),"",SUM(F$12:F12))</f>
        <v>25713.160000000003</v>
      </c>
      <c r="I12" s="339">
        <f>IF(ISTEXT($J$4),"",SUM(G$12:G12))</f>
        <v>89166.67</v>
      </c>
      <c r="J12" s="339">
        <f t="shared" ref="J12:J23" si="3">IF(ISTEXT(J$4),"",D12-F12)</f>
        <v>21374286.84</v>
      </c>
      <c r="K12" s="326"/>
      <c r="L12" s="324"/>
      <c r="M12" s="324"/>
      <c r="N12" s="325"/>
      <c r="O12" s="325"/>
      <c r="P12" s="325"/>
      <c r="Q12" s="324"/>
    </row>
    <row r="13" spans="1:17" ht="11.85" customHeight="1" x14ac:dyDescent="0.25">
      <c r="A13" s="326"/>
      <c r="B13" s="328" t="str">
        <f>IF(O193=1,E7+1,"")</f>
        <v/>
      </c>
      <c r="C13" s="340" t="str">
        <f>VLOOKUP(O193,M192:N203,2)</f>
        <v>Feb</v>
      </c>
      <c r="D13" s="339">
        <f t="shared" ref="D13:D23" si="4">IF(ISTEXT(J$4),"",J12)</f>
        <v>21374286.84</v>
      </c>
      <c r="E13" s="339">
        <f t="shared" si="0"/>
        <v>114879.83</v>
      </c>
      <c r="F13" s="339">
        <f t="shared" si="1"/>
        <v>25820.300000000003</v>
      </c>
      <c r="G13" s="339">
        <f t="shared" si="2"/>
        <v>89059.53</v>
      </c>
      <c r="H13" s="339">
        <f>IF(ISTEXT($J$4),"",SUM(F$12:F13))</f>
        <v>51533.460000000006</v>
      </c>
      <c r="I13" s="339">
        <f>IF(ISTEXT($J$4),"",SUM(G$12:G13))</f>
        <v>178226.2</v>
      </c>
      <c r="J13" s="339">
        <f t="shared" si="3"/>
        <v>21348466.539999999</v>
      </c>
      <c r="K13" s="326"/>
      <c r="L13" s="324"/>
      <c r="M13" s="324"/>
      <c r="N13" s="325"/>
      <c r="O13" s="325"/>
      <c r="P13" s="325"/>
      <c r="Q13" s="324"/>
    </row>
    <row r="14" spans="1:17" ht="11.85" customHeight="1" x14ac:dyDescent="0.25">
      <c r="A14" s="326"/>
      <c r="B14" s="328" t="str">
        <f>IF(O194=1,E7+1,"")</f>
        <v/>
      </c>
      <c r="C14" s="340" t="str">
        <f>VLOOKUP(O194,M192:N203,2)</f>
        <v>Mar</v>
      </c>
      <c r="D14" s="339">
        <f t="shared" si="4"/>
        <v>21348466.539999999</v>
      </c>
      <c r="E14" s="339">
        <f t="shared" si="0"/>
        <v>114879.83</v>
      </c>
      <c r="F14" s="339">
        <f t="shared" si="1"/>
        <v>25927.89</v>
      </c>
      <c r="G14" s="339">
        <f t="shared" si="2"/>
        <v>88951.94</v>
      </c>
      <c r="H14" s="339">
        <f>IF(ISTEXT($J$4),"",SUM(F$12:F14))</f>
        <v>77461.350000000006</v>
      </c>
      <c r="I14" s="339">
        <f>IF(ISTEXT($J$4),"",SUM(G$12:G14))</f>
        <v>267178.14</v>
      </c>
      <c r="J14" s="339">
        <f t="shared" si="3"/>
        <v>21322538.649999999</v>
      </c>
      <c r="K14" s="326"/>
      <c r="L14" s="324"/>
      <c r="M14" s="324"/>
      <c r="N14" s="325"/>
      <c r="O14" s="325"/>
      <c r="P14" s="325"/>
      <c r="Q14" s="324"/>
    </row>
    <row r="15" spans="1:17" ht="11.85" customHeight="1" x14ac:dyDescent="0.25">
      <c r="A15" s="326"/>
      <c r="B15" s="328" t="str">
        <f>IF(O195=1,E7+1,"")</f>
        <v/>
      </c>
      <c r="C15" s="340" t="str">
        <f>VLOOKUP(O195,M192:N203,2)</f>
        <v>Apr</v>
      </c>
      <c r="D15" s="339">
        <f t="shared" si="4"/>
        <v>21322538.649999999</v>
      </c>
      <c r="E15" s="339">
        <f t="shared" si="0"/>
        <v>114879.83</v>
      </c>
      <c r="F15" s="339">
        <f t="shared" si="1"/>
        <v>26035.919999999998</v>
      </c>
      <c r="G15" s="339">
        <f t="shared" si="2"/>
        <v>88843.91</v>
      </c>
      <c r="H15" s="339">
        <f>IF(ISTEXT($J$4),"",SUM(F$12:F15))</f>
        <v>103497.27</v>
      </c>
      <c r="I15" s="339">
        <f>IF(ISTEXT($J$4),"",SUM(G$12:G15))</f>
        <v>356022.05000000005</v>
      </c>
      <c r="J15" s="339">
        <f t="shared" si="3"/>
        <v>21296502.729999997</v>
      </c>
      <c r="K15" s="326"/>
      <c r="L15" s="324"/>
      <c r="M15" s="324"/>
      <c r="N15" s="325"/>
      <c r="O15" s="325"/>
      <c r="P15" s="325"/>
      <c r="Q15" s="324"/>
    </row>
    <row r="16" spans="1:17" ht="11.85" customHeight="1" x14ac:dyDescent="0.25">
      <c r="A16" s="326"/>
      <c r="B16" s="328" t="str">
        <f>IF(O196=1,E7+1,"")</f>
        <v/>
      </c>
      <c r="C16" s="340" t="str">
        <f>VLOOKUP(O196,M192:N203,2)</f>
        <v>May</v>
      </c>
      <c r="D16" s="339">
        <f t="shared" si="4"/>
        <v>21296502.729999997</v>
      </c>
      <c r="E16" s="339">
        <f t="shared" si="0"/>
        <v>114879.83</v>
      </c>
      <c r="F16" s="339">
        <f t="shared" si="1"/>
        <v>26144.400000000009</v>
      </c>
      <c r="G16" s="339">
        <f t="shared" si="2"/>
        <v>88735.43</v>
      </c>
      <c r="H16" s="339">
        <f>IF(ISTEXT($J$4),"",SUM(F$12:F16))</f>
        <v>129641.67000000001</v>
      </c>
      <c r="I16" s="339">
        <f>IF(ISTEXT($J$4),"",SUM(G$12:G16))</f>
        <v>444757.48000000004</v>
      </c>
      <c r="J16" s="339">
        <f t="shared" si="3"/>
        <v>21270358.329999998</v>
      </c>
      <c r="K16" s="326"/>
      <c r="L16" s="324"/>
      <c r="M16" s="324"/>
      <c r="N16" s="325"/>
      <c r="O16" s="325"/>
      <c r="P16" s="325"/>
      <c r="Q16" s="324"/>
    </row>
    <row r="17" spans="1:17" ht="11.85" customHeight="1" x14ac:dyDescent="0.25">
      <c r="A17" s="326"/>
      <c r="B17" s="328" t="str">
        <f>IF(O197=1,E7+1,"")</f>
        <v/>
      </c>
      <c r="C17" s="340" t="str">
        <f>VLOOKUP(O197,M192:N203,2)</f>
        <v>Jun</v>
      </c>
      <c r="D17" s="339">
        <f t="shared" si="4"/>
        <v>21270358.329999998</v>
      </c>
      <c r="E17" s="339">
        <f t="shared" si="0"/>
        <v>114879.83</v>
      </c>
      <c r="F17" s="339">
        <f t="shared" si="1"/>
        <v>26253.339999999997</v>
      </c>
      <c r="G17" s="339">
        <f t="shared" si="2"/>
        <v>88626.49</v>
      </c>
      <c r="H17" s="339">
        <f>IF(ISTEXT($J$4),"",SUM(F$12:F17))</f>
        <v>155895.01</v>
      </c>
      <c r="I17" s="339">
        <f>IF(ISTEXT($J$4),"",SUM(G$12:G17))</f>
        <v>533383.97000000009</v>
      </c>
      <c r="J17" s="339">
        <f t="shared" si="3"/>
        <v>21244104.989999998</v>
      </c>
      <c r="K17" s="326"/>
      <c r="L17" s="324"/>
      <c r="M17" s="324"/>
      <c r="N17" s="325"/>
      <c r="O17" s="325"/>
      <c r="P17" s="325"/>
      <c r="Q17" s="324"/>
    </row>
    <row r="18" spans="1:17" ht="11.85" customHeight="1" x14ac:dyDescent="0.25">
      <c r="A18" s="326"/>
      <c r="B18" s="328" t="str">
        <f>IF(O198=1,E7+1,"")</f>
        <v/>
      </c>
      <c r="C18" s="340" t="str">
        <f>VLOOKUP(O198,M192:N203,2)</f>
        <v>Jul</v>
      </c>
      <c r="D18" s="339">
        <f t="shared" si="4"/>
        <v>21244104.989999998</v>
      </c>
      <c r="E18" s="339">
        <f t="shared" si="0"/>
        <v>114879.83</v>
      </c>
      <c r="F18" s="339">
        <f t="shared" si="1"/>
        <v>26362.729999999996</v>
      </c>
      <c r="G18" s="339">
        <f t="shared" si="2"/>
        <v>88517.1</v>
      </c>
      <c r="H18" s="339">
        <f>IF(ISTEXT($J$4),"",SUM(F$12:F18))</f>
        <v>182257.74</v>
      </c>
      <c r="I18" s="339">
        <f>IF(ISTEXT($J$4),"",SUM(G$12:G18))</f>
        <v>621901.07000000007</v>
      </c>
      <c r="J18" s="339">
        <f t="shared" si="3"/>
        <v>21217742.259999998</v>
      </c>
      <c r="K18" s="326"/>
      <c r="L18" s="324"/>
      <c r="M18" s="324"/>
      <c r="N18" s="325"/>
      <c r="O18" s="325"/>
      <c r="P18" s="325"/>
      <c r="Q18" s="324"/>
    </row>
    <row r="19" spans="1:17" ht="11.85" customHeight="1" x14ac:dyDescent="0.25">
      <c r="A19" s="326"/>
      <c r="B19" s="328" t="str">
        <f>IF(O199=1,E7+1,"")</f>
        <v/>
      </c>
      <c r="C19" s="340" t="str">
        <f>VLOOKUP(O199,M192:N203,2)</f>
        <v>Aug</v>
      </c>
      <c r="D19" s="339">
        <f t="shared" si="4"/>
        <v>21217742.259999998</v>
      </c>
      <c r="E19" s="339">
        <f t="shared" si="0"/>
        <v>114879.83</v>
      </c>
      <c r="F19" s="339">
        <f t="shared" si="1"/>
        <v>26472.570000000007</v>
      </c>
      <c r="G19" s="339">
        <f t="shared" si="2"/>
        <v>88407.26</v>
      </c>
      <c r="H19" s="339">
        <f>IF(ISTEXT($J$4),"",SUM(F$12:F19))</f>
        <v>208730.31</v>
      </c>
      <c r="I19" s="339">
        <f>IF(ISTEXT($J$4),"",SUM(G$12:G19))</f>
        <v>710308.33000000007</v>
      </c>
      <c r="J19" s="339">
        <f t="shared" si="3"/>
        <v>21191269.689999998</v>
      </c>
      <c r="K19" s="326"/>
      <c r="L19" s="324"/>
      <c r="M19" s="324"/>
      <c r="N19" s="325"/>
      <c r="O19" s="325"/>
      <c r="P19" s="325"/>
      <c r="Q19" s="324"/>
    </row>
    <row r="20" spans="1:17" ht="11.85" customHeight="1" x14ac:dyDescent="0.25">
      <c r="A20" s="326"/>
      <c r="B20" s="328" t="str">
        <f>IF(O200=1,E7+1,"")</f>
        <v/>
      </c>
      <c r="C20" s="340" t="str">
        <f>VLOOKUP(O200,M192:N203,2)</f>
        <v>Sep</v>
      </c>
      <c r="D20" s="339">
        <f t="shared" si="4"/>
        <v>21191269.689999998</v>
      </c>
      <c r="E20" s="339">
        <f t="shared" si="0"/>
        <v>114879.83</v>
      </c>
      <c r="F20" s="339">
        <f t="shared" si="1"/>
        <v>26582.869999999995</v>
      </c>
      <c r="G20" s="339">
        <f t="shared" si="2"/>
        <v>88296.960000000006</v>
      </c>
      <c r="H20" s="339">
        <f>IF(ISTEXT($J$4),"",SUM(F$12:F20))</f>
        <v>235313.18</v>
      </c>
      <c r="I20" s="339">
        <f>IF(ISTEXT($J$4),"",SUM(G$12:G20))</f>
        <v>798605.29</v>
      </c>
      <c r="J20" s="339">
        <f t="shared" si="3"/>
        <v>21164686.819999997</v>
      </c>
      <c r="K20" s="326"/>
      <c r="L20" s="324"/>
      <c r="M20" s="324"/>
      <c r="N20" s="325"/>
      <c r="O20" s="325"/>
      <c r="P20" s="325"/>
      <c r="Q20" s="324"/>
    </row>
    <row r="21" spans="1:17" ht="11.85" customHeight="1" x14ac:dyDescent="0.25">
      <c r="A21" s="326"/>
      <c r="B21" s="328" t="str">
        <f>IF(O201=1,E7+1,"")</f>
        <v/>
      </c>
      <c r="C21" s="328" t="str">
        <f>VLOOKUP(O201,M192:N203,2)</f>
        <v>Oct</v>
      </c>
      <c r="D21" s="339">
        <f t="shared" si="4"/>
        <v>21164686.819999997</v>
      </c>
      <c r="E21" s="339">
        <f t="shared" si="0"/>
        <v>114879.83</v>
      </c>
      <c r="F21" s="339">
        <f t="shared" si="1"/>
        <v>26693.630000000005</v>
      </c>
      <c r="G21" s="339">
        <f t="shared" si="2"/>
        <v>88186.2</v>
      </c>
      <c r="H21" s="339">
        <f>IF(ISTEXT($J$4),"",SUM(F$12:F21))</f>
        <v>262006.81</v>
      </c>
      <c r="I21" s="339">
        <f>IF(ISTEXT($J$4),"",SUM(G$12:G21))</f>
        <v>886791.49</v>
      </c>
      <c r="J21" s="339">
        <f t="shared" si="3"/>
        <v>21137993.189999998</v>
      </c>
      <c r="K21" s="326"/>
      <c r="L21" s="324"/>
      <c r="M21" s="324"/>
      <c r="N21" s="325"/>
      <c r="O21" s="325"/>
      <c r="P21" s="325"/>
      <c r="Q21" s="324"/>
    </row>
    <row r="22" spans="1:17" ht="11.85" customHeight="1" x14ac:dyDescent="0.25">
      <c r="A22" s="326"/>
      <c r="B22" s="328" t="str">
        <f>IF(O202=1,E7+1,"")</f>
        <v/>
      </c>
      <c r="C22" s="340" t="str">
        <f>VLOOKUP(O202,M192:N203,2)</f>
        <v>Nov</v>
      </c>
      <c r="D22" s="339">
        <f t="shared" si="4"/>
        <v>21137993.189999998</v>
      </c>
      <c r="E22" s="339">
        <f t="shared" si="0"/>
        <v>114879.83</v>
      </c>
      <c r="F22" s="339">
        <f t="shared" si="1"/>
        <v>26804.86</v>
      </c>
      <c r="G22" s="339">
        <f t="shared" si="2"/>
        <v>88074.97</v>
      </c>
      <c r="H22" s="339">
        <f>IF(ISTEXT($J$4),"",SUM(F$12:F22))</f>
        <v>288811.67</v>
      </c>
      <c r="I22" s="339">
        <f>IF(ISTEXT($J$4),"",SUM(G$12:G22))</f>
        <v>974866.46</v>
      </c>
      <c r="J22" s="339">
        <f t="shared" si="3"/>
        <v>21111188.329999998</v>
      </c>
      <c r="K22" s="326"/>
      <c r="L22" s="324"/>
      <c r="M22" s="324"/>
      <c r="N22" s="325"/>
      <c r="O22" s="325"/>
      <c r="P22" s="325"/>
      <c r="Q22" s="324"/>
    </row>
    <row r="23" spans="1:17" ht="11.85" customHeight="1" x14ac:dyDescent="0.25">
      <c r="A23" s="326"/>
      <c r="B23" s="328" t="str">
        <f>IF(O203=1,E7+1,"")</f>
        <v/>
      </c>
      <c r="C23" s="340" t="str">
        <f>VLOOKUP(O203,M192:N203,2)</f>
        <v>Dec</v>
      </c>
      <c r="D23" s="339">
        <f t="shared" si="4"/>
        <v>21111188.329999998</v>
      </c>
      <c r="E23" s="339">
        <f t="shared" si="0"/>
        <v>114879.83</v>
      </c>
      <c r="F23" s="339">
        <f t="shared" si="1"/>
        <v>26916.550000000003</v>
      </c>
      <c r="G23" s="339">
        <f t="shared" si="2"/>
        <v>87963.28</v>
      </c>
      <c r="H23" s="339">
        <f>IF(ISTEXT($J$4),"",SUM(F$12:F23))</f>
        <v>315728.21999999997</v>
      </c>
      <c r="I23" s="339">
        <f>IF(ISTEXT($J$4),"",SUM(G$12:G23))</f>
        <v>1062829.74</v>
      </c>
      <c r="J23" s="339">
        <f t="shared" si="3"/>
        <v>21084271.779999997</v>
      </c>
      <c r="K23" s="326"/>
      <c r="L23" s="324"/>
      <c r="M23" s="324"/>
      <c r="N23" s="325"/>
      <c r="O23" s="325"/>
      <c r="P23" s="325"/>
      <c r="Q23" s="324"/>
    </row>
    <row r="24" spans="1:17" ht="10.050000000000001" customHeight="1" x14ac:dyDescent="0.25">
      <c r="A24" s="337"/>
      <c r="B24" s="337"/>
      <c r="C24" s="337"/>
      <c r="D24" s="338"/>
      <c r="E24" s="337"/>
      <c r="F24" s="337"/>
      <c r="G24" s="337"/>
      <c r="H24" s="337"/>
      <c r="I24" s="337"/>
      <c r="J24" s="337"/>
      <c r="K24" s="337"/>
      <c r="L24" s="313"/>
      <c r="M24" s="313"/>
      <c r="N24" s="322"/>
      <c r="O24" s="322"/>
      <c r="P24" s="322"/>
      <c r="Q24" s="313"/>
    </row>
    <row r="25" spans="1:17" ht="18" customHeight="1" x14ac:dyDescent="0.25">
      <c r="A25" s="337"/>
      <c r="B25" s="636" t="s">
        <v>197</v>
      </c>
      <c r="C25" s="637"/>
      <c r="D25" s="637"/>
      <c r="E25" s="637"/>
      <c r="F25" s="637"/>
      <c r="G25" s="637"/>
      <c r="H25" s="637"/>
      <c r="I25" s="638"/>
      <c r="J25" s="337"/>
      <c r="K25" s="337"/>
      <c r="L25" s="313"/>
      <c r="M25" s="313"/>
      <c r="N25" s="322"/>
      <c r="O25" s="322"/>
      <c r="P25" s="322"/>
      <c r="Q25" s="313"/>
    </row>
    <row r="26" spans="1:17" ht="27" customHeight="1" x14ac:dyDescent="0.25">
      <c r="A26" s="332"/>
      <c r="B26" s="336" t="s">
        <v>196</v>
      </c>
      <c r="C26" s="334" t="s">
        <v>195</v>
      </c>
      <c r="D26" s="334" t="s">
        <v>194</v>
      </c>
      <c r="E26" s="334" t="s">
        <v>193</v>
      </c>
      <c r="F26" s="334" t="s">
        <v>192</v>
      </c>
      <c r="G26" s="335" t="s">
        <v>191</v>
      </c>
      <c r="H26" s="334" t="s">
        <v>190</v>
      </c>
      <c r="I26" s="333" t="s">
        <v>189</v>
      </c>
      <c r="J26" s="330"/>
      <c r="K26" s="332"/>
      <c r="L26" s="330"/>
      <c r="M26" s="330"/>
      <c r="N26" s="331"/>
      <c r="O26" s="331"/>
      <c r="P26" s="331"/>
      <c r="Q26" s="330"/>
    </row>
    <row r="27" spans="1:17" ht="11.85" customHeight="1" x14ac:dyDescent="0.25">
      <c r="A27" s="326"/>
      <c r="B27" s="328">
        <f>IF(NOT(ISNUMBER(E7)),"",IF(C12="Jan",1+E7,MAX(B12:B23)))</f>
        <v>2021</v>
      </c>
      <c r="C27" s="327">
        <f>IF(ISTEXT(B27),"",INDEX(J12:J23,13-O192,1))</f>
        <v>21084271.779999997</v>
      </c>
      <c r="D27" s="327">
        <f>IF(ISTEXT(B27),"",J$5*12)</f>
        <v>1378557.96</v>
      </c>
      <c r="E27" s="327">
        <f t="shared" ref="E27:E56" si="5">IF(ISTEXT(B27),"",C27-I27)</f>
        <v>331880.91771228239</v>
      </c>
      <c r="F27" s="327">
        <f t="shared" ref="F27:F56" si="6">IF(ISTEXT(B27),"",D27-E27)</f>
        <v>1046677.0422877176</v>
      </c>
      <c r="G27" s="327">
        <f>IF(ISTEXT(B27),"",E4-I27)</f>
        <v>647609.13771228492</v>
      </c>
      <c r="H27" s="327">
        <f>IF(ISTEXT(B27),"",IF(Q212&lt;12,(24-Q212)*J5-G27,24*J5-G27))</f>
        <v>2109506.782287715</v>
      </c>
      <c r="I27" s="327">
        <f t="shared" ref="I27:I56" si="7">IF(ISTEXT(B27),"",IF(B27=Q$211,0,IF(ISTEXT(B27),"",PV(E$5/12,N205,-J$5))))</f>
        <v>20752390.862287715</v>
      </c>
      <c r="J27" s="324"/>
      <c r="K27" s="326"/>
      <c r="L27" s="324"/>
      <c r="M27" s="324"/>
      <c r="N27" s="325"/>
      <c r="O27" s="325"/>
      <c r="P27" s="325"/>
      <c r="Q27" s="324"/>
    </row>
    <row r="28" spans="1:17" ht="11.85" customHeight="1" x14ac:dyDescent="0.25">
      <c r="A28" s="326"/>
      <c r="B28" s="328">
        <f>IF(ISTEXT(B27),"",IF(MAX(B$27:B27)=Q$211,"",B27+1))</f>
        <v>2022</v>
      </c>
      <c r="C28" s="327">
        <f t="shared" ref="C28:C56" si="8">IF(ISTEXT(B28),"",I27)</f>
        <v>20752390.862287715</v>
      </c>
      <c r="D28" s="327">
        <f t="shared" ref="D28:D56" si="9">IF(ISTEXT(B28),"",J$5*MIN(12,N205))</f>
        <v>1378557.96</v>
      </c>
      <c r="E28" s="327">
        <f t="shared" si="5"/>
        <v>348861.12937323004</v>
      </c>
      <c r="F28" s="327">
        <f t="shared" si="6"/>
        <v>1029696.8306267699</v>
      </c>
      <c r="G28" s="327">
        <f t="shared" ref="G28:G56" si="10">IF(ISTEXT(B28),"",G27+E28)</f>
        <v>996470.26708551496</v>
      </c>
      <c r="H28" s="327">
        <f t="shared" ref="H28:H56" si="11">IF(ISTEXT(C28),"",H27+F28)</f>
        <v>3139203.6129144849</v>
      </c>
      <c r="I28" s="327">
        <f t="shared" si="7"/>
        <v>20403529.732914485</v>
      </c>
      <c r="J28" s="324"/>
      <c r="K28" s="326"/>
      <c r="L28" s="324"/>
      <c r="M28" s="324"/>
      <c r="N28" s="325"/>
      <c r="O28" s="325"/>
      <c r="P28" s="325"/>
      <c r="Q28" s="324"/>
    </row>
    <row r="29" spans="1:17" ht="11.85" customHeight="1" x14ac:dyDescent="0.25">
      <c r="A29" s="326"/>
      <c r="B29" s="328">
        <f>IF(ISTEXT(B28),"",IF(MAX(B$27:B28)=Q$211,"",B28+1))</f>
        <v>2023</v>
      </c>
      <c r="C29" s="327">
        <f t="shared" si="8"/>
        <v>20403529.732914485</v>
      </c>
      <c r="D29" s="327">
        <f t="shared" si="9"/>
        <v>1378557.96</v>
      </c>
      <c r="E29" s="327">
        <f t="shared" si="5"/>
        <v>366709.52684913576</v>
      </c>
      <c r="F29" s="327">
        <f t="shared" si="6"/>
        <v>1011848.4331508642</v>
      </c>
      <c r="G29" s="327">
        <f t="shared" si="10"/>
        <v>1363179.7939346507</v>
      </c>
      <c r="H29" s="327">
        <f t="shared" si="11"/>
        <v>4151052.0460653491</v>
      </c>
      <c r="I29" s="327">
        <f t="shared" si="7"/>
        <v>20036820.206065349</v>
      </c>
      <c r="J29" s="324"/>
      <c r="K29" s="326"/>
      <c r="L29" s="324"/>
      <c r="M29" s="324"/>
      <c r="N29" s="325"/>
      <c r="O29" s="325"/>
      <c r="P29" s="325"/>
      <c r="Q29" s="324"/>
    </row>
    <row r="30" spans="1:17" ht="11.85" customHeight="1" x14ac:dyDescent="0.25">
      <c r="A30" s="326"/>
      <c r="B30" s="328">
        <f>IF(ISTEXT(B29),"",IF(MAX(B$27:B29)=Q$211,"",B29+1))</f>
        <v>2024</v>
      </c>
      <c r="C30" s="327">
        <f t="shared" si="8"/>
        <v>20036820.206065349</v>
      </c>
      <c r="D30" s="327">
        <f t="shared" si="9"/>
        <v>1378557.96</v>
      </c>
      <c r="E30" s="327">
        <f t="shared" si="5"/>
        <v>385471.08221404627</v>
      </c>
      <c r="F30" s="327">
        <f t="shared" si="6"/>
        <v>993086.87778595369</v>
      </c>
      <c r="G30" s="329">
        <f t="shared" si="10"/>
        <v>1748650.876148697</v>
      </c>
      <c r="H30" s="327">
        <f t="shared" si="11"/>
        <v>5144138.9238513028</v>
      </c>
      <c r="I30" s="327">
        <f t="shared" si="7"/>
        <v>19651349.123851303</v>
      </c>
      <c r="J30" s="324"/>
      <c r="K30" s="326"/>
      <c r="L30" s="324"/>
      <c r="M30" s="324"/>
      <c r="N30" s="325"/>
      <c r="O30" s="325"/>
      <c r="P30" s="325"/>
      <c r="Q30" s="324"/>
    </row>
    <row r="31" spans="1:17" ht="11.85" customHeight="1" x14ac:dyDescent="0.25">
      <c r="A31" s="326"/>
      <c r="B31" s="328">
        <f>IF(ISTEXT(B30),"",IF(MAX(B$27:B30)=Q$211,"",B30+1))</f>
        <v>2025</v>
      </c>
      <c r="C31" s="327">
        <f t="shared" si="8"/>
        <v>19651349.123851303</v>
      </c>
      <c r="D31" s="327">
        <f t="shared" si="9"/>
        <v>1378557.96</v>
      </c>
      <c r="E31" s="327">
        <f t="shared" si="5"/>
        <v>405192.51435864344</v>
      </c>
      <c r="F31" s="327">
        <f t="shared" si="6"/>
        <v>973365.44564135652</v>
      </c>
      <c r="G31" s="327">
        <f t="shared" si="10"/>
        <v>2153843.3905073404</v>
      </c>
      <c r="H31" s="327">
        <f t="shared" si="11"/>
        <v>6117504.3694926593</v>
      </c>
      <c r="I31" s="327">
        <f t="shared" si="7"/>
        <v>19246156.60949266</v>
      </c>
      <c r="J31" s="324"/>
      <c r="K31" s="326"/>
      <c r="L31" s="324"/>
      <c r="M31" s="324"/>
      <c r="N31" s="325"/>
      <c r="O31" s="325"/>
      <c r="P31" s="325"/>
      <c r="Q31" s="324"/>
    </row>
    <row r="32" spans="1:17" ht="11.85" customHeight="1" x14ac:dyDescent="0.25">
      <c r="A32" s="326"/>
      <c r="B32" s="328">
        <f>IF(ISTEXT(B31),"",IF(MAX(B$27:B31)=Q$211,"",B31+1))</f>
        <v>2026</v>
      </c>
      <c r="C32" s="327">
        <f t="shared" si="8"/>
        <v>19246156.60949266</v>
      </c>
      <c r="D32" s="327">
        <f t="shared" si="9"/>
        <v>1378557.96</v>
      </c>
      <c r="E32" s="327">
        <f t="shared" si="5"/>
        <v>425922.93240070343</v>
      </c>
      <c r="F32" s="327">
        <f t="shared" si="6"/>
        <v>952635.02759929653</v>
      </c>
      <c r="G32" s="327">
        <f t="shared" si="10"/>
        <v>2579766.3229080439</v>
      </c>
      <c r="H32" s="327">
        <f t="shared" si="11"/>
        <v>7070139.3970919559</v>
      </c>
      <c r="I32" s="327">
        <f t="shared" si="7"/>
        <v>18820233.677091956</v>
      </c>
      <c r="J32" s="324"/>
      <c r="K32" s="326"/>
      <c r="L32" s="324"/>
      <c r="M32" s="324"/>
      <c r="N32" s="325"/>
      <c r="O32" s="325"/>
      <c r="P32" s="325"/>
      <c r="Q32" s="324"/>
    </row>
    <row r="33" spans="1:17" ht="11.85" customHeight="1" x14ac:dyDescent="0.25">
      <c r="A33" s="326"/>
      <c r="B33" s="328">
        <f>IF(ISTEXT(B32),"",IF(MAX(B$27:B32)=Q$211,"",B32+1))</f>
        <v>2027</v>
      </c>
      <c r="C33" s="327">
        <f t="shared" si="8"/>
        <v>18820233.677091956</v>
      </c>
      <c r="D33" s="327">
        <f t="shared" si="9"/>
        <v>1378557.96</v>
      </c>
      <c r="E33" s="327">
        <f t="shared" si="5"/>
        <v>447713.95797367394</v>
      </c>
      <c r="F33" s="327">
        <f t="shared" si="6"/>
        <v>930844.00202632602</v>
      </c>
      <c r="G33" s="327">
        <f t="shared" si="10"/>
        <v>3027480.2808817178</v>
      </c>
      <c r="H33" s="327">
        <f t="shared" si="11"/>
        <v>8000983.3991182819</v>
      </c>
      <c r="I33" s="327">
        <f t="shared" si="7"/>
        <v>18372519.719118282</v>
      </c>
      <c r="J33" s="324"/>
      <c r="K33" s="326"/>
      <c r="L33" s="324"/>
      <c r="M33" s="324"/>
      <c r="N33" s="325"/>
      <c r="O33" s="325"/>
      <c r="P33" s="325"/>
      <c r="Q33" s="324"/>
    </row>
    <row r="34" spans="1:17" ht="11.85" customHeight="1" x14ac:dyDescent="0.25">
      <c r="A34" s="326"/>
      <c r="B34" s="328">
        <f>IF(ISTEXT(B33),"",IF(MAX(B$27:B33)=Q$211,"",B33+1))</f>
        <v>2028</v>
      </c>
      <c r="C34" s="327">
        <f t="shared" si="8"/>
        <v>18372519.719118282</v>
      </c>
      <c r="D34" s="327">
        <f t="shared" si="9"/>
        <v>1378557.96</v>
      </c>
      <c r="E34" s="327">
        <f t="shared" si="5"/>
        <v>470619.85377174988</v>
      </c>
      <c r="F34" s="327">
        <f t="shared" si="6"/>
        <v>907938.10622825008</v>
      </c>
      <c r="G34" s="327">
        <f t="shared" si="10"/>
        <v>3498100.1346534677</v>
      </c>
      <c r="H34" s="327">
        <f t="shared" si="11"/>
        <v>8908921.5053465329</v>
      </c>
      <c r="I34" s="327">
        <f t="shared" si="7"/>
        <v>17901899.865346532</v>
      </c>
      <c r="J34" s="324"/>
      <c r="K34" s="326"/>
      <c r="L34" s="324"/>
      <c r="M34" s="324"/>
      <c r="N34" s="325"/>
      <c r="O34" s="325"/>
      <c r="P34" s="325"/>
      <c r="Q34" s="324"/>
    </row>
    <row r="35" spans="1:17" ht="11.85" customHeight="1" x14ac:dyDescent="0.25">
      <c r="A35" s="326"/>
      <c r="B35" s="328">
        <f>IF(ISTEXT(B34),"",IF(MAX(B$27:B34)=Q$211,"",B34+1))</f>
        <v>2029</v>
      </c>
      <c r="C35" s="327">
        <f t="shared" si="8"/>
        <v>17901899.865346532</v>
      </c>
      <c r="D35" s="327">
        <f t="shared" si="9"/>
        <v>1378557.96</v>
      </c>
      <c r="E35" s="327">
        <f t="shared" si="5"/>
        <v>494697.65867153555</v>
      </c>
      <c r="F35" s="327">
        <f t="shared" si="6"/>
        <v>883860.30132846441</v>
      </c>
      <c r="G35" s="327">
        <f t="shared" si="10"/>
        <v>3992797.7933250032</v>
      </c>
      <c r="H35" s="327">
        <f t="shared" si="11"/>
        <v>9792781.8066749983</v>
      </c>
      <c r="I35" s="327">
        <f t="shared" si="7"/>
        <v>17407202.206674997</v>
      </c>
      <c r="J35" s="324"/>
      <c r="K35" s="326"/>
      <c r="L35" s="324"/>
      <c r="M35" s="324"/>
      <c r="N35" s="325"/>
      <c r="O35" s="325"/>
      <c r="P35" s="325"/>
      <c r="Q35" s="324"/>
    </row>
    <row r="36" spans="1:17" ht="11.85" customHeight="1" x14ac:dyDescent="0.25">
      <c r="A36" s="326"/>
      <c r="B36" s="328">
        <f>IF(ISTEXT(B35),"",IF(MAX(B$27:B35)=Q$211,"",B35+1))</f>
        <v>2030</v>
      </c>
      <c r="C36" s="327">
        <f t="shared" si="8"/>
        <v>17407202.206674997</v>
      </c>
      <c r="D36" s="327">
        <f t="shared" si="9"/>
        <v>1378557.96</v>
      </c>
      <c r="E36" s="327">
        <f t="shared" si="5"/>
        <v>520007.32976682857</v>
      </c>
      <c r="F36" s="327">
        <f t="shared" si="6"/>
        <v>858550.6302331714</v>
      </c>
      <c r="G36" s="327">
        <f t="shared" si="10"/>
        <v>4512805.1230918318</v>
      </c>
      <c r="H36" s="327">
        <f t="shared" si="11"/>
        <v>10651332.436908171</v>
      </c>
      <c r="I36" s="327">
        <f t="shared" si="7"/>
        <v>16887194.876908168</v>
      </c>
      <c r="J36" s="324"/>
      <c r="K36" s="326"/>
      <c r="L36" s="324"/>
      <c r="M36" s="324"/>
      <c r="N36" s="325"/>
      <c r="O36" s="325"/>
      <c r="P36" s="325"/>
      <c r="Q36" s="324"/>
    </row>
    <row r="37" spans="1:17" ht="11.85" customHeight="1" x14ac:dyDescent="0.25">
      <c r="A37" s="326"/>
      <c r="B37" s="328">
        <f>IF(ISTEXT(B36),"",IF(MAX(B$27:B36)=Q$211,"",B36+1))</f>
        <v>2031</v>
      </c>
      <c r="C37" s="327">
        <f t="shared" si="8"/>
        <v>16887194.876908168</v>
      </c>
      <c r="D37" s="327">
        <f t="shared" si="9"/>
        <v>1378557.96</v>
      </c>
      <c r="E37" s="327">
        <f t="shared" si="5"/>
        <v>546611.89167010412</v>
      </c>
      <c r="F37" s="327">
        <f t="shared" si="6"/>
        <v>831946.06832989585</v>
      </c>
      <c r="G37" s="327">
        <f t="shared" si="10"/>
        <v>5059417.0147619359</v>
      </c>
      <c r="H37" s="327">
        <f t="shared" si="11"/>
        <v>11483278.505238067</v>
      </c>
      <c r="I37" s="327">
        <f t="shared" si="7"/>
        <v>16340582.985238064</v>
      </c>
      <c r="J37" s="324"/>
      <c r="K37" s="326"/>
      <c r="L37" s="324"/>
      <c r="M37" s="324"/>
      <c r="N37" s="325"/>
      <c r="O37" s="325"/>
      <c r="P37" s="325"/>
      <c r="Q37" s="324"/>
    </row>
    <row r="38" spans="1:17" ht="11.85" customHeight="1" x14ac:dyDescent="0.25">
      <c r="A38" s="326"/>
      <c r="B38" s="328">
        <f>IF(ISTEXT(B37),"",IF(MAX(B$27:B37)=Q$211,"",B37+1))</f>
        <v>2032</v>
      </c>
      <c r="C38" s="327">
        <f t="shared" si="8"/>
        <v>16340582.985238064</v>
      </c>
      <c r="D38" s="327">
        <f t="shared" si="9"/>
        <v>1378557.96</v>
      </c>
      <c r="E38" s="327">
        <f t="shared" si="5"/>
        <v>574577.59345267713</v>
      </c>
      <c r="F38" s="327">
        <f t="shared" si="6"/>
        <v>803980.36654732283</v>
      </c>
      <c r="G38" s="327">
        <f t="shared" si="10"/>
        <v>5633994.6082146131</v>
      </c>
      <c r="H38" s="327">
        <f t="shared" si="11"/>
        <v>12287258.871785391</v>
      </c>
      <c r="I38" s="327">
        <f t="shared" si="7"/>
        <v>15766005.391785387</v>
      </c>
      <c r="J38" s="324"/>
      <c r="K38" s="326"/>
      <c r="L38" s="324"/>
      <c r="M38" s="324"/>
      <c r="N38" s="325"/>
      <c r="O38" s="325"/>
      <c r="P38" s="325"/>
      <c r="Q38" s="324"/>
    </row>
    <row r="39" spans="1:17" ht="11.85" customHeight="1" x14ac:dyDescent="0.25">
      <c r="A39" s="326"/>
      <c r="B39" s="328">
        <f>IF(ISTEXT(B38),"",IF(MAX(B$27:B38)=Q$211,"",B38+1))</f>
        <v>2033</v>
      </c>
      <c r="C39" s="327">
        <f t="shared" si="8"/>
        <v>15766005.391785387</v>
      </c>
      <c r="D39" s="327">
        <f t="shared" si="9"/>
        <v>1378557.96</v>
      </c>
      <c r="E39" s="327">
        <f t="shared" si="5"/>
        <v>603974.07361402921</v>
      </c>
      <c r="F39" s="327">
        <f t="shared" si="6"/>
        <v>774583.88638597075</v>
      </c>
      <c r="G39" s="327">
        <f t="shared" si="10"/>
        <v>6237968.6818286423</v>
      </c>
      <c r="H39" s="327">
        <f t="shared" si="11"/>
        <v>13061842.758171361</v>
      </c>
      <c r="I39" s="327">
        <f t="shared" si="7"/>
        <v>15162031.318171358</v>
      </c>
      <c r="J39" s="324"/>
      <c r="K39" s="326"/>
      <c r="L39" s="324"/>
      <c r="M39" s="324"/>
      <c r="N39" s="325"/>
      <c r="O39" s="325"/>
      <c r="P39" s="325"/>
      <c r="Q39" s="324"/>
    </row>
    <row r="40" spans="1:17" ht="11.85" customHeight="1" x14ac:dyDescent="0.25">
      <c r="A40" s="326"/>
      <c r="B40" s="328">
        <f>IF(ISTEXT(B39),"",IF(MAX(B$27:B39)=Q$211,"",B39+1))</f>
        <v>2034</v>
      </c>
      <c r="C40" s="327">
        <f t="shared" si="8"/>
        <v>15162031.318171358</v>
      </c>
      <c r="D40" s="327">
        <f t="shared" si="9"/>
        <v>1378557.96</v>
      </c>
      <c r="E40" s="327">
        <f t="shared" si="5"/>
        <v>634874.53349148855</v>
      </c>
      <c r="F40" s="327">
        <f t="shared" si="6"/>
        <v>743683.42650851142</v>
      </c>
      <c r="G40" s="327">
        <f t="shared" si="10"/>
        <v>6872843.2153201308</v>
      </c>
      <c r="H40" s="327">
        <f t="shared" si="11"/>
        <v>13805526.184679873</v>
      </c>
      <c r="I40" s="327">
        <f t="shared" si="7"/>
        <v>14527156.784679869</v>
      </c>
      <c r="J40" s="324"/>
      <c r="K40" s="326"/>
      <c r="L40" s="324"/>
      <c r="M40" s="324"/>
      <c r="N40" s="325"/>
      <c r="O40" s="325"/>
      <c r="P40" s="325"/>
      <c r="Q40" s="324"/>
    </row>
    <row r="41" spans="1:17" ht="11.85" customHeight="1" x14ac:dyDescent="0.25">
      <c r="A41" s="326"/>
      <c r="B41" s="328">
        <f>IF(ISTEXT(B40),"",IF(MAX(B$27:B40)=Q$211,"",B40+1))</f>
        <v>2035</v>
      </c>
      <c r="C41" s="327">
        <f t="shared" si="8"/>
        <v>14527156.784679869</v>
      </c>
      <c r="D41" s="327">
        <f t="shared" si="9"/>
        <v>1378557.96</v>
      </c>
      <c r="E41" s="327">
        <f t="shared" si="5"/>
        <v>667355.91954169236</v>
      </c>
      <c r="F41" s="327">
        <f t="shared" si="6"/>
        <v>711202.0404583076</v>
      </c>
      <c r="G41" s="327">
        <f t="shared" si="10"/>
        <v>7540199.1348618232</v>
      </c>
      <c r="H41" s="327">
        <f t="shared" si="11"/>
        <v>14516728.22513818</v>
      </c>
      <c r="I41" s="327">
        <f t="shared" si="7"/>
        <v>13859800.865138177</v>
      </c>
      <c r="J41" s="324"/>
      <c r="K41" s="326"/>
      <c r="L41" s="324"/>
      <c r="M41" s="324"/>
      <c r="N41" s="325"/>
      <c r="O41" s="325"/>
      <c r="P41" s="325"/>
      <c r="Q41" s="324"/>
    </row>
    <row r="42" spans="1:17" ht="11.85" customHeight="1" x14ac:dyDescent="0.25">
      <c r="A42" s="326"/>
      <c r="B42" s="328">
        <f>IF(ISTEXT(B41),"",IF(MAX(B$27:B41)=Q$211,"",B41+1))</f>
        <v>2036</v>
      </c>
      <c r="C42" s="327">
        <f t="shared" si="8"/>
        <v>13859800.865138177</v>
      </c>
      <c r="D42" s="327">
        <f t="shared" si="9"/>
        <v>1378557.96</v>
      </c>
      <c r="E42" s="327">
        <f t="shared" si="5"/>
        <v>701499.11494805291</v>
      </c>
      <c r="F42" s="327">
        <f t="shared" si="6"/>
        <v>677058.84505194705</v>
      </c>
      <c r="G42" s="327">
        <f t="shared" si="10"/>
        <v>8241698.2498098761</v>
      </c>
      <c r="H42" s="327">
        <f t="shared" si="11"/>
        <v>15193787.070190128</v>
      </c>
      <c r="I42" s="327">
        <f t="shared" si="7"/>
        <v>13158301.750190124</v>
      </c>
      <c r="J42" s="324"/>
      <c r="K42" s="326"/>
      <c r="L42" s="324"/>
      <c r="M42" s="324"/>
      <c r="N42" s="325"/>
      <c r="O42" s="325"/>
      <c r="P42" s="325"/>
      <c r="Q42" s="324"/>
    </row>
    <row r="43" spans="1:17" ht="11.85" customHeight="1" x14ac:dyDescent="0.25">
      <c r="A43" s="326"/>
      <c r="B43" s="328">
        <f>IF(ISTEXT(B42),"",IF(MAX(B$27:B42)=Q$211,"",B42+1))</f>
        <v>2037</v>
      </c>
      <c r="C43" s="327">
        <f t="shared" si="8"/>
        <v>13158301.750190124</v>
      </c>
      <c r="D43" s="327">
        <f t="shared" si="9"/>
        <v>1378557.96</v>
      </c>
      <c r="E43" s="327">
        <f t="shared" si="5"/>
        <v>737389.14103115536</v>
      </c>
      <c r="F43" s="327">
        <f t="shared" si="6"/>
        <v>641168.8189688446</v>
      </c>
      <c r="G43" s="327">
        <f t="shared" si="10"/>
        <v>8979087.3908410314</v>
      </c>
      <c r="H43" s="327">
        <f t="shared" si="11"/>
        <v>15834955.889158972</v>
      </c>
      <c r="I43" s="327">
        <f t="shared" si="7"/>
        <v>12420912.609158969</v>
      </c>
      <c r="J43" s="324"/>
      <c r="K43" s="326"/>
      <c r="L43" s="324"/>
      <c r="M43" s="324"/>
      <c r="N43" s="325"/>
      <c r="O43" s="325"/>
      <c r="P43" s="325"/>
      <c r="Q43" s="324"/>
    </row>
    <row r="44" spans="1:17" ht="11.85" customHeight="1" x14ac:dyDescent="0.25">
      <c r="A44" s="326"/>
      <c r="B44" s="328">
        <f>IF(ISTEXT(B43),"",IF(MAX(B$27:B43)=Q$211,"",B43+1))</f>
        <v>2038</v>
      </c>
      <c r="C44" s="327">
        <f t="shared" si="8"/>
        <v>12420912.609158969</v>
      </c>
      <c r="D44" s="327">
        <f t="shared" si="9"/>
        <v>1378557.96</v>
      </c>
      <c r="E44" s="327">
        <f t="shared" si="5"/>
        <v>775115.36896368861</v>
      </c>
      <c r="F44" s="327">
        <f t="shared" si="6"/>
        <v>603442.59103631135</v>
      </c>
      <c r="G44" s="327">
        <f t="shared" si="10"/>
        <v>9754202.7598047201</v>
      </c>
      <c r="H44" s="327">
        <f t="shared" si="11"/>
        <v>16438398.480195284</v>
      </c>
      <c r="I44" s="327">
        <f t="shared" si="7"/>
        <v>11645797.24019528</v>
      </c>
      <c r="J44" s="324"/>
      <c r="K44" s="326"/>
      <c r="L44" s="324"/>
      <c r="M44" s="324"/>
      <c r="N44" s="325"/>
      <c r="O44" s="325"/>
      <c r="P44" s="325"/>
      <c r="Q44" s="324"/>
    </row>
    <row r="45" spans="1:17" ht="11.85" customHeight="1" x14ac:dyDescent="0.25">
      <c r="A45" s="326"/>
      <c r="B45" s="328">
        <f>IF(ISTEXT(B44),"",IF(MAX(B$27:B44)=Q$211,"",B44+1))</f>
        <v>2039</v>
      </c>
      <c r="C45" s="327">
        <f t="shared" si="8"/>
        <v>11645797.24019528</v>
      </c>
      <c r="D45" s="327">
        <f t="shared" si="9"/>
        <v>1378557.96</v>
      </c>
      <c r="E45" s="327">
        <f t="shared" si="5"/>
        <v>814771.74231716804</v>
      </c>
      <c r="F45" s="327">
        <f t="shared" si="6"/>
        <v>563786.21768283192</v>
      </c>
      <c r="G45" s="327">
        <f t="shared" si="10"/>
        <v>10568974.502121888</v>
      </c>
      <c r="H45" s="327">
        <f t="shared" si="11"/>
        <v>17002184.697878115</v>
      </c>
      <c r="I45" s="327">
        <f t="shared" si="7"/>
        <v>10831025.497878112</v>
      </c>
      <c r="J45" s="324"/>
      <c r="K45" s="326"/>
      <c r="L45" s="324"/>
      <c r="M45" s="324"/>
      <c r="N45" s="325"/>
      <c r="O45" s="325"/>
      <c r="P45" s="325"/>
      <c r="Q45" s="324"/>
    </row>
    <row r="46" spans="1:17" ht="11.85" customHeight="1" x14ac:dyDescent="0.25">
      <c r="A46" s="326"/>
      <c r="B46" s="328">
        <f>IF(ISTEXT(B45),"",IF(MAX(B$27:B45)=Q$211,"",B45+1))</f>
        <v>2040</v>
      </c>
      <c r="C46" s="327">
        <f t="shared" si="8"/>
        <v>10831025.497878112</v>
      </c>
      <c r="D46" s="327">
        <f t="shared" si="9"/>
        <v>1378557.96</v>
      </c>
      <c r="E46" s="327">
        <f t="shared" si="5"/>
        <v>856457.01099452376</v>
      </c>
      <c r="F46" s="327">
        <f t="shared" si="6"/>
        <v>522100.9490054762</v>
      </c>
      <c r="G46" s="327">
        <f t="shared" si="10"/>
        <v>11425431.513116412</v>
      </c>
      <c r="H46" s="327">
        <f t="shared" si="11"/>
        <v>17524285.646883592</v>
      </c>
      <c r="I46" s="327">
        <f t="shared" si="7"/>
        <v>9974568.4868835881</v>
      </c>
      <c r="J46" s="324"/>
      <c r="K46" s="326"/>
      <c r="L46" s="324"/>
      <c r="M46" s="324"/>
      <c r="N46" s="325"/>
      <c r="O46" s="325"/>
      <c r="P46" s="325"/>
      <c r="Q46" s="324"/>
    </row>
    <row r="47" spans="1:17" ht="11.85" customHeight="1" x14ac:dyDescent="0.25">
      <c r="A47" s="326"/>
      <c r="B47" s="328">
        <f>IF(ISTEXT(B46),"",IF(MAX(B$27:B46)=Q$211,"",B46+1))</f>
        <v>2041</v>
      </c>
      <c r="C47" s="327">
        <f t="shared" si="8"/>
        <v>9974568.4868835881</v>
      </c>
      <c r="D47" s="327">
        <f t="shared" si="9"/>
        <v>1378557.96</v>
      </c>
      <c r="E47" s="327">
        <f t="shared" si="5"/>
        <v>900274.97713112086</v>
      </c>
      <c r="F47" s="327">
        <f t="shared" si="6"/>
        <v>478282.9828688791</v>
      </c>
      <c r="G47" s="327">
        <f t="shared" si="10"/>
        <v>12325706.490247533</v>
      </c>
      <c r="H47" s="327">
        <f t="shared" si="11"/>
        <v>18002568.629752472</v>
      </c>
      <c r="I47" s="327">
        <f t="shared" si="7"/>
        <v>9074293.5097524673</v>
      </c>
      <c r="J47" s="324"/>
      <c r="K47" s="326"/>
      <c r="L47" s="324"/>
      <c r="M47" s="324"/>
      <c r="N47" s="325"/>
      <c r="O47" s="325"/>
      <c r="P47" s="325"/>
      <c r="Q47" s="324"/>
    </row>
    <row r="48" spans="1:17" ht="11.85" customHeight="1" x14ac:dyDescent="0.25">
      <c r="A48" s="326"/>
      <c r="B48" s="328">
        <f>IF(ISTEXT(B47),"",IF(MAX(B$27:B47)=Q$211,"",B47+1))</f>
        <v>2042</v>
      </c>
      <c r="C48" s="327">
        <f t="shared" si="8"/>
        <v>9074293.5097524673</v>
      </c>
      <c r="D48" s="327">
        <f t="shared" si="9"/>
        <v>1378557.96</v>
      </c>
      <c r="E48" s="327">
        <f t="shared" si="5"/>
        <v>946334.75357658044</v>
      </c>
      <c r="F48" s="327">
        <f t="shared" si="6"/>
        <v>432223.20642341953</v>
      </c>
      <c r="G48" s="327">
        <f t="shared" si="10"/>
        <v>13272041.243824113</v>
      </c>
      <c r="H48" s="327">
        <f t="shared" si="11"/>
        <v>18434791.836175893</v>
      </c>
      <c r="I48" s="327">
        <f t="shared" si="7"/>
        <v>8127958.7561758868</v>
      </c>
      <c r="J48" s="324"/>
      <c r="K48" s="326"/>
      <c r="L48" s="324"/>
      <c r="M48" s="324"/>
      <c r="N48" s="325"/>
      <c r="O48" s="325"/>
      <c r="P48" s="325"/>
      <c r="Q48" s="324"/>
    </row>
    <row r="49" spans="1:17" ht="11.85" customHeight="1" x14ac:dyDescent="0.25">
      <c r="A49" s="326"/>
      <c r="B49" s="328">
        <f>IF(ISTEXT(B48),"",IF(MAX(B$27:B48)=Q$211,"",B48+1))</f>
        <v>2043</v>
      </c>
      <c r="C49" s="327">
        <f t="shared" si="8"/>
        <v>8127958.7561758868</v>
      </c>
      <c r="D49" s="327">
        <f t="shared" si="9"/>
        <v>1378557.96</v>
      </c>
      <c r="E49" s="327">
        <f t="shared" si="5"/>
        <v>994751.03560100216</v>
      </c>
      <c r="F49" s="327">
        <f t="shared" si="6"/>
        <v>383806.9243989978</v>
      </c>
      <c r="G49" s="327">
        <f t="shared" si="10"/>
        <v>14266792.279425114</v>
      </c>
      <c r="H49" s="327">
        <f t="shared" si="11"/>
        <v>18818598.760574892</v>
      </c>
      <c r="I49" s="327">
        <f t="shared" si="7"/>
        <v>7133207.7205748847</v>
      </c>
      <c r="J49" s="324"/>
      <c r="K49" s="326"/>
      <c r="L49" s="324"/>
      <c r="M49" s="324"/>
      <c r="N49" s="325"/>
      <c r="O49" s="325"/>
      <c r="P49" s="325"/>
      <c r="Q49" s="324"/>
    </row>
    <row r="50" spans="1:17" ht="11.85" customHeight="1" x14ac:dyDescent="0.25">
      <c r="A50" s="326"/>
      <c r="B50" s="328">
        <f>IF(ISTEXT(B49),"",IF(MAX(B$27:B49)=Q$211,"",B49+1))</f>
        <v>2044</v>
      </c>
      <c r="C50" s="327">
        <f t="shared" si="8"/>
        <v>7133207.7205748847</v>
      </c>
      <c r="D50" s="327">
        <f t="shared" si="9"/>
        <v>1378557.96</v>
      </c>
      <c r="E50" s="327">
        <f t="shared" si="5"/>
        <v>1045644.3865021709</v>
      </c>
      <c r="F50" s="327">
        <f t="shared" si="6"/>
        <v>332913.57349782903</v>
      </c>
      <c r="G50" s="327">
        <f t="shared" si="10"/>
        <v>15312436.665927285</v>
      </c>
      <c r="H50" s="327">
        <f t="shared" si="11"/>
        <v>19151512.33407272</v>
      </c>
      <c r="I50" s="327">
        <f t="shared" si="7"/>
        <v>6087563.3340727137</v>
      </c>
      <c r="J50" s="324"/>
      <c r="K50" s="326"/>
      <c r="L50" s="324"/>
      <c r="M50" s="324"/>
      <c r="N50" s="325"/>
      <c r="O50" s="325"/>
      <c r="P50" s="325"/>
      <c r="Q50" s="324"/>
    </row>
    <row r="51" spans="1:17" ht="11.85" customHeight="1" x14ac:dyDescent="0.25">
      <c r="A51" s="326"/>
      <c r="B51" s="328">
        <f>IF(ISTEXT(B50),"",IF(MAX(B$27:B50)=Q$211,"",B50+1))</f>
        <v>2045</v>
      </c>
      <c r="C51" s="327">
        <f t="shared" si="8"/>
        <v>6087563.3340727137</v>
      </c>
      <c r="D51" s="327">
        <f t="shared" si="9"/>
        <v>1378557.96</v>
      </c>
      <c r="E51" s="327">
        <f t="shared" si="5"/>
        <v>1099141.5378249995</v>
      </c>
      <c r="F51" s="327">
        <f t="shared" si="6"/>
        <v>279416.42217500042</v>
      </c>
      <c r="G51" s="327">
        <f t="shared" si="10"/>
        <v>16411578.203752285</v>
      </c>
      <c r="H51" s="327">
        <f t="shared" si="11"/>
        <v>19430928.756247722</v>
      </c>
      <c r="I51" s="327">
        <f t="shared" si="7"/>
        <v>4988421.7962477142</v>
      </c>
      <c r="J51" s="324"/>
      <c r="K51" s="326"/>
      <c r="L51" s="324"/>
      <c r="M51" s="324"/>
      <c r="N51" s="325"/>
      <c r="O51" s="325"/>
      <c r="P51" s="325"/>
      <c r="Q51" s="324"/>
    </row>
    <row r="52" spans="1:17" ht="11.85" customHeight="1" x14ac:dyDescent="0.25">
      <c r="A52" s="326"/>
      <c r="B52" s="328">
        <f>IF(ISTEXT(B51),"",IF(MAX(B$27:B51)=Q$211,"",B51+1))</f>
        <v>2046</v>
      </c>
      <c r="C52" s="327">
        <f t="shared" si="8"/>
        <v>4988421.7962477142</v>
      </c>
      <c r="D52" s="327">
        <f t="shared" si="9"/>
        <v>1378557.96</v>
      </c>
      <c r="E52" s="327">
        <f t="shared" si="5"/>
        <v>1155375.7049407773</v>
      </c>
      <c r="F52" s="327">
        <f t="shared" si="6"/>
        <v>223182.25505922269</v>
      </c>
      <c r="G52" s="327">
        <f t="shared" si="10"/>
        <v>17566953.90869306</v>
      </c>
      <c r="H52" s="327">
        <f t="shared" si="11"/>
        <v>19654111.011306945</v>
      </c>
      <c r="I52" s="327">
        <f t="shared" si="7"/>
        <v>3833046.0913069369</v>
      </c>
      <c r="J52" s="324"/>
      <c r="K52" s="326"/>
      <c r="L52" s="324"/>
      <c r="M52" s="324"/>
      <c r="N52" s="325"/>
      <c r="O52" s="325"/>
      <c r="P52" s="325"/>
      <c r="Q52" s="324"/>
    </row>
    <row r="53" spans="1:17" ht="11.85" customHeight="1" x14ac:dyDescent="0.25">
      <c r="A53" s="326"/>
      <c r="B53" s="328">
        <f>IF(ISTEXT(B52),"",IF(MAX(B$27:B52)=Q$211,"",B52+1))</f>
        <v>2047</v>
      </c>
      <c r="C53" s="327">
        <f t="shared" si="8"/>
        <v>3833046.0913069369</v>
      </c>
      <c r="D53" s="327">
        <f t="shared" si="9"/>
        <v>1378557.96</v>
      </c>
      <c r="E53" s="327">
        <f t="shared" si="5"/>
        <v>1214486.9187719887</v>
      </c>
      <c r="F53" s="327">
        <f t="shared" si="6"/>
        <v>164071.04122801125</v>
      </c>
      <c r="G53" s="327">
        <f t="shared" si="10"/>
        <v>18781440.82746505</v>
      </c>
      <c r="H53" s="327">
        <f t="shared" si="11"/>
        <v>19818182.052534956</v>
      </c>
      <c r="I53" s="327">
        <f t="shared" si="7"/>
        <v>2618559.1725349482</v>
      </c>
      <c r="J53" s="324"/>
      <c r="K53" s="326"/>
      <c r="L53" s="324"/>
      <c r="M53" s="324"/>
      <c r="N53" s="325"/>
      <c r="O53" s="325"/>
      <c r="P53" s="325"/>
      <c r="Q53" s="324"/>
    </row>
    <row r="54" spans="1:17" ht="11.85" customHeight="1" x14ac:dyDescent="0.25">
      <c r="A54" s="326"/>
      <c r="B54" s="328">
        <f>IF(ISTEXT(B53),"",IF(MAX(B$27:B53)=Q$211,"",B53+1))</f>
        <v>2048</v>
      </c>
      <c r="C54" s="327">
        <f t="shared" si="8"/>
        <v>2618559.1725349482</v>
      </c>
      <c r="D54" s="327">
        <f t="shared" si="9"/>
        <v>1378557.96</v>
      </c>
      <c r="E54" s="327">
        <f t="shared" si="5"/>
        <v>1276622.3744889051</v>
      </c>
      <c r="F54" s="327">
        <f t="shared" si="6"/>
        <v>101935.58551109489</v>
      </c>
      <c r="G54" s="327">
        <f t="shared" si="10"/>
        <v>20058063.201953955</v>
      </c>
      <c r="H54" s="327">
        <f t="shared" si="11"/>
        <v>19920117.638046052</v>
      </c>
      <c r="I54" s="327">
        <f t="shared" si="7"/>
        <v>1341936.7980460431</v>
      </c>
      <c r="J54" s="324"/>
      <c r="K54" s="326"/>
      <c r="L54" s="324"/>
      <c r="M54" s="324"/>
      <c r="N54" s="325"/>
      <c r="O54" s="325"/>
      <c r="P54" s="325"/>
      <c r="Q54" s="324"/>
    </row>
    <row r="55" spans="1:17" ht="11.85" customHeight="1" x14ac:dyDescent="0.25">
      <c r="A55" s="326"/>
      <c r="B55" s="328">
        <f>IF(ISTEXT(B54),"",IF(MAX(B$27:B54)=Q$211,"",B54+1))</f>
        <v>2049</v>
      </c>
      <c r="C55" s="327">
        <f t="shared" si="8"/>
        <v>1341936.7980460431</v>
      </c>
      <c r="D55" s="327">
        <f t="shared" si="9"/>
        <v>1378557.96</v>
      </c>
      <c r="E55" s="327">
        <f t="shared" si="5"/>
        <v>1341936.7980460431</v>
      </c>
      <c r="F55" s="327">
        <f t="shared" si="6"/>
        <v>36621.16195395682</v>
      </c>
      <c r="G55" s="327">
        <f t="shared" si="10"/>
        <v>21400000</v>
      </c>
      <c r="H55" s="327">
        <f t="shared" si="11"/>
        <v>19956738.800000008</v>
      </c>
      <c r="I55" s="327">
        <f t="shared" si="7"/>
        <v>0</v>
      </c>
      <c r="J55" s="324"/>
      <c r="K55" s="326"/>
      <c r="L55" s="324"/>
      <c r="M55" s="324"/>
      <c r="N55" s="325"/>
      <c r="O55" s="325"/>
      <c r="P55" s="325"/>
      <c r="Q55" s="324"/>
    </row>
    <row r="56" spans="1:17" ht="11.85" customHeight="1" x14ac:dyDescent="0.25">
      <c r="A56" s="326"/>
      <c r="B56" s="328" t="str">
        <f>IF(ISTEXT(B55),"",IF(MAX(B$27:B55)=Q$211,"",B55+1))</f>
        <v/>
      </c>
      <c r="C56" s="327" t="str">
        <f t="shared" si="8"/>
        <v/>
      </c>
      <c r="D56" s="327" t="str">
        <f t="shared" si="9"/>
        <v/>
      </c>
      <c r="E56" s="327" t="str">
        <f t="shared" si="5"/>
        <v/>
      </c>
      <c r="F56" s="327" t="str">
        <f t="shared" si="6"/>
        <v/>
      </c>
      <c r="G56" s="327" t="str">
        <f t="shared" si="10"/>
        <v/>
      </c>
      <c r="H56" s="327" t="str">
        <f t="shared" si="11"/>
        <v/>
      </c>
      <c r="I56" s="327" t="str">
        <f t="shared" si="7"/>
        <v/>
      </c>
      <c r="J56" s="324"/>
      <c r="K56" s="326"/>
      <c r="L56" s="324"/>
      <c r="M56" s="324"/>
      <c r="N56" s="325"/>
      <c r="O56" s="325"/>
      <c r="P56" s="325"/>
      <c r="Q56" s="324"/>
    </row>
    <row r="57" spans="1:17" x14ac:dyDescent="0.25">
      <c r="A57" s="313"/>
      <c r="B57" s="313"/>
      <c r="C57" s="323"/>
      <c r="D57" s="323"/>
      <c r="E57" s="323"/>
      <c r="F57" s="323"/>
      <c r="G57" s="323"/>
      <c r="H57" s="323"/>
      <c r="I57" s="323"/>
      <c r="J57" s="313"/>
      <c r="K57" s="313"/>
      <c r="L57" s="313"/>
      <c r="M57" s="313"/>
      <c r="N57" s="322"/>
      <c r="O57" s="322"/>
      <c r="P57" s="322"/>
      <c r="Q57" s="313"/>
    </row>
    <row r="58" spans="1:17" x14ac:dyDescent="0.25">
      <c r="A58" s="313"/>
      <c r="B58" s="313"/>
      <c r="C58" s="323"/>
      <c r="D58" s="323"/>
      <c r="E58" s="323"/>
      <c r="F58" s="323"/>
      <c r="G58" s="323"/>
      <c r="H58" s="323"/>
      <c r="I58" s="323"/>
      <c r="J58" s="313"/>
      <c r="K58" s="313"/>
      <c r="L58" s="313"/>
      <c r="M58" s="313"/>
      <c r="N58" s="322"/>
      <c r="O58" s="322"/>
      <c r="P58" s="322"/>
      <c r="Q58" s="313"/>
    </row>
    <row r="59" spans="1:17" x14ac:dyDescent="0.25">
      <c r="A59" s="313"/>
      <c r="B59" s="313"/>
      <c r="C59" s="323"/>
      <c r="D59" s="323"/>
      <c r="E59" s="323"/>
      <c r="F59" s="323"/>
      <c r="G59" s="323"/>
      <c r="H59" s="323"/>
      <c r="I59" s="323"/>
      <c r="J59" s="313"/>
      <c r="K59" s="313"/>
      <c r="L59" s="313"/>
      <c r="M59" s="313"/>
      <c r="N59" s="322"/>
      <c r="O59" s="322"/>
      <c r="P59" s="322"/>
      <c r="Q59" s="313"/>
    </row>
    <row r="60" spans="1:17" x14ac:dyDescent="0.25">
      <c r="A60" s="313"/>
      <c r="B60" s="313"/>
      <c r="C60" s="323"/>
      <c r="D60" s="323"/>
      <c r="E60" s="323"/>
      <c r="F60" s="323"/>
      <c r="G60" s="323"/>
      <c r="H60" s="323"/>
      <c r="I60" s="323"/>
      <c r="J60" s="313"/>
      <c r="K60" s="313"/>
      <c r="L60" s="313"/>
      <c r="M60" s="313"/>
      <c r="N60" s="322"/>
      <c r="O60" s="322"/>
      <c r="P60" s="322"/>
      <c r="Q60" s="313"/>
    </row>
    <row r="61" spans="1:17" x14ac:dyDescent="0.25">
      <c r="A61" s="313"/>
      <c r="B61" s="313"/>
      <c r="C61" s="323"/>
      <c r="D61" s="323"/>
      <c r="E61" s="323"/>
      <c r="F61" s="323"/>
      <c r="G61" s="323"/>
      <c r="H61" s="323"/>
      <c r="I61" s="323"/>
      <c r="J61" s="313"/>
      <c r="K61" s="313"/>
      <c r="L61" s="313"/>
      <c r="M61" s="313"/>
      <c r="N61" s="322"/>
      <c r="O61" s="322"/>
      <c r="P61" s="322"/>
      <c r="Q61" s="313"/>
    </row>
    <row r="62" spans="1:17" x14ac:dyDescent="0.25">
      <c r="A62" s="313"/>
      <c r="B62" s="313"/>
      <c r="C62" s="323"/>
      <c r="D62" s="323"/>
      <c r="E62" s="323"/>
      <c r="F62" s="323"/>
      <c r="G62" s="323"/>
      <c r="H62" s="323"/>
      <c r="I62" s="323"/>
      <c r="J62" s="313"/>
      <c r="K62" s="313"/>
      <c r="L62" s="313"/>
      <c r="M62" s="313"/>
      <c r="N62" s="322"/>
      <c r="O62" s="322"/>
      <c r="P62" s="322"/>
      <c r="Q62" s="313"/>
    </row>
    <row r="63" spans="1:17" x14ac:dyDescent="0.25">
      <c r="A63" s="313"/>
      <c r="B63" s="313"/>
      <c r="C63" s="323"/>
      <c r="D63" s="323"/>
      <c r="E63" s="323"/>
      <c r="F63" s="323"/>
      <c r="G63" s="323"/>
      <c r="H63" s="323"/>
      <c r="I63" s="323"/>
      <c r="J63" s="313"/>
      <c r="K63" s="313"/>
      <c r="L63" s="313"/>
      <c r="M63" s="313"/>
      <c r="N63" s="322"/>
      <c r="O63" s="322"/>
      <c r="P63" s="322"/>
      <c r="Q63" s="313"/>
    </row>
    <row r="64" spans="1:17" x14ac:dyDescent="0.25">
      <c r="A64" s="313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22"/>
      <c r="O64" s="322"/>
      <c r="P64" s="322"/>
      <c r="Q64" s="313"/>
    </row>
    <row r="65" spans="1:17" x14ac:dyDescent="0.25">
      <c r="A65" s="313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22"/>
      <c r="O65" s="322"/>
      <c r="P65" s="322"/>
      <c r="Q65" s="313"/>
    </row>
    <row r="66" spans="1:17" x14ac:dyDescent="0.25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22"/>
      <c r="O66" s="322"/>
      <c r="P66" s="322"/>
      <c r="Q66" s="313"/>
    </row>
    <row r="67" spans="1:17" x14ac:dyDescent="0.25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22"/>
      <c r="O67" s="322"/>
      <c r="P67" s="322"/>
      <c r="Q67" s="313"/>
    </row>
    <row r="68" spans="1:17" x14ac:dyDescent="0.25">
      <c r="A68" s="313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22"/>
      <c r="O68" s="322"/>
      <c r="P68" s="322"/>
      <c r="Q68" s="313"/>
    </row>
    <row r="69" spans="1:17" x14ac:dyDescent="0.25">
      <c r="A69" s="313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22"/>
      <c r="O69" s="322"/>
      <c r="P69" s="322"/>
      <c r="Q69" s="313"/>
    </row>
    <row r="70" spans="1:17" x14ac:dyDescent="0.25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22"/>
      <c r="O70" s="322"/>
      <c r="P70" s="322"/>
      <c r="Q70" s="313"/>
    </row>
    <row r="71" spans="1:17" x14ac:dyDescent="0.25">
      <c r="A71" s="313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22"/>
      <c r="O71" s="322"/>
      <c r="P71" s="322"/>
      <c r="Q71" s="313"/>
    </row>
    <row r="72" spans="1:17" x14ac:dyDescent="0.25">
      <c r="A72" s="313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22"/>
      <c r="O72" s="322"/>
      <c r="P72" s="322"/>
      <c r="Q72" s="313"/>
    </row>
    <row r="73" spans="1:17" x14ac:dyDescent="0.25">
      <c r="A73" s="313"/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22"/>
      <c r="O73" s="322"/>
      <c r="P73" s="322"/>
      <c r="Q73" s="313"/>
    </row>
    <row r="74" spans="1:17" x14ac:dyDescent="0.25">
      <c r="A74" s="313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22"/>
      <c r="O74" s="322"/>
      <c r="P74" s="322"/>
      <c r="Q74" s="313"/>
    </row>
    <row r="75" spans="1:17" x14ac:dyDescent="0.25">
      <c r="A75" s="313"/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22"/>
      <c r="O75" s="322"/>
      <c r="P75" s="322"/>
      <c r="Q75" s="313"/>
    </row>
    <row r="76" spans="1:17" x14ac:dyDescent="0.25">
      <c r="A76" s="313"/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22"/>
      <c r="O76" s="322"/>
      <c r="P76" s="322"/>
      <c r="Q76" s="313"/>
    </row>
    <row r="77" spans="1:17" x14ac:dyDescent="0.25">
      <c r="A77" s="313"/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22"/>
      <c r="O77" s="322"/>
      <c r="P77" s="322"/>
      <c r="Q77" s="313"/>
    </row>
    <row r="78" spans="1:17" x14ac:dyDescent="0.25">
      <c r="A78" s="313"/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22"/>
      <c r="O78" s="322"/>
      <c r="P78" s="322"/>
      <c r="Q78" s="313"/>
    </row>
    <row r="79" spans="1:17" x14ac:dyDescent="0.25">
      <c r="A79" s="313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22"/>
      <c r="O79" s="322"/>
      <c r="P79" s="322"/>
      <c r="Q79" s="313"/>
    </row>
    <row r="80" spans="1:17" x14ac:dyDescent="0.25">
      <c r="A80" s="313"/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22"/>
      <c r="O80" s="322"/>
      <c r="P80" s="322"/>
      <c r="Q80" s="313"/>
    </row>
    <row r="81" spans="1:17" x14ac:dyDescent="0.25">
      <c r="A81" s="313"/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22"/>
      <c r="O81" s="322"/>
      <c r="P81" s="322"/>
      <c r="Q81" s="313"/>
    </row>
    <row r="82" spans="1:17" x14ac:dyDescent="0.25">
      <c r="A82" s="313"/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22"/>
      <c r="O82" s="322"/>
      <c r="P82" s="322"/>
      <c r="Q82" s="313"/>
    </row>
    <row r="83" spans="1:17" x14ac:dyDescent="0.25">
      <c r="A83" s="313"/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22"/>
      <c r="O83" s="322"/>
      <c r="P83" s="322"/>
      <c r="Q83" s="313"/>
    </row>
    <row r="84" spans="1:17" x14ac:dyDescent="0.25">
      <c r="A84" s="313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22"/>
      <c r="O84" s="322"/>
      <c r="P84" s="322"/>
      <c r="Q84" s="313"/>
    </row>
    <row r="85" spans="1:17" x14ac:dyDescent="0.25">
      <c r="A85" s="313"/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22"/>
      <c r="O85" s="322"/>
      <c r="P85" s="322"/>
      <c r="Q85" s="313"/>
    </row>
    <row r="86" spans="1:17" x14ac:dyDescent="0.25">
      <c r="A86" s="313"/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22"/>
      <c r="O86" s="322"/>
      <c r="P86" s="322"/>
      <c r="Q86" s="313"/>
    </row>
    <row r="87" spans="1:17" x14ac:dyDescent="0.25">
      <c r="A87" s="313"/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22"/>
      <c r="O87" s="322"/>
      <c r="P87" s="322"/>
      <c r="Q87" s="313"/>
    </row>
    <row r="88" spans="1:17" x14ac:dyDescent="0.25">
      <c r="A88" s="313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22"/>
      <c r="O88" s="322"/>
      <c r="P88" s="322"/>
      <c r="Q88" s="313"/>
    </row>
    <row r="89" spans="1:17" x14ac:dyDescent="0.25">
      <c r="A89" s="313"/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22"/>
      <c r="O89" s="322"/>
      <c r="P89" s="322"/>
      <c r="Q89" s="313"/>
    </row>
    <row r="90" spans="1:17" x14ac:dyDescent="0.25">
      <c r="A90" s="313"/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22"/>
      <c r="O90" s="322"/>
      <c r="P90" s="322"/>
      <c r="Q90" s="313"/>
    </row>
    <row r="91" spans="1:17" x14ac:dyDescent="0.25">
      <c r="A91" s="313"/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22"/>
      <c r="O91" s="322"/>
      <c r="P91" s="322"/>
      <c r="Q91" s="313"/>
    </row>
    <row r="92" spans="1:17" x14ac:dyDescent="0.25">
      <c r="A92" s="313"/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22"/>
      <c r="O92" s="322"/>
      <c r="P92" s="322"/>
      <c r="Q92" s="313"/>
    </row>
    <row r="93" spans="1:17" x14ac:dyDescent="0.25">
      <c r="A93" s="313"/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22"/>
      <c r="O93" s="322"/>
      <c r="P93" s="322"/>
      <c r="Q93" s="313"/>
    </row>
    <row r="94" spans="1:17" x14ac:dyDescent="0.25">
      <c r="A94" s="313"/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22"/>
      <c r="O94" s="322"/>
      <c r="P94" s="322"/>
      <c r="Q94" s="313"/>
    </row>
    <row r="95" spans="1:17" x14ac:dyDescent="0.25">
      <c r="A95" s="313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22"/>
      <c r="O95" s="322"/>
      <c r="P95" s="322"/>
      <c r="Q95" s="313"/>
    </row>
    <row r="96" spans="1:17" x14ac:dyDescent="0.25">
      <c r="A96" s="313"/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22"/>
      <c r="O96" s="322"/>
      <c r="P96" s="322"/>
      <c r="Q96" s="313"/>
    </row>
    <row r="97" spans="1:17" x14ac:dyDescent="0.25">
      <c r="A97" s="313"/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22"/>
      <c r="O97" s="322"/>
      <c r="P97" s="322"/>
      <c r="Q97" s="313"/>
    </row>
    <row r="98" spans="1:17" x14ac:dyDescent="0.25">
      <c r="A98" s="313"/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22"/>
      <c r="O98" s="322"/>
      <c r="P98" s="322"/>
      <c r="Q98" s="313"/>
    </row>
    <row r="99" spans="1:17" x14ac:dyDescent="0.25">
      <c r="A99" s="313"/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22"/>
      <c r="O99" s="322"/>
      <c r="P99" s="322"/>
      <c r="Q99" s="313"/>
    </row>
    <row r="100" spans="1:17" x14ac:dyDescent="0.25">
      <c r="A100" s="313"/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22"/>
      <c r="O100" s="322"/>
      <c r="P100" s="322"/>
      <c r="Q100" s="313"/>
    </row>
    <row r="101" spans="1:17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22"/>
      <c r="O101" s="322"/>
      <c r="P101" s="322"/>
      <c r="Q101" s="313"/>
    </row>
    <row r="102" spans="1:17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22"/>
      <c r="O102" s="322"/>
      <c r="P102" s="322"/>
      <c r="Q102" s="313"/>
    </row>
    <row r="103" spans="1:17" x14ac:dyDescent="0.25">
      <c r="A103" s="313"/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22"/>
      <c r="O103" s="322"/>
      <c r="P103" s="322"/>
      <c r="Q103" s="313"/>
    </row>
    <row r="104" spans="1:17" x14ac:dyDescent="0.25">
      <c r="A104" s="313"/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22"/>
      <c r="O104" s="322"/>
      <c r="P104" s="322"/>
      <c r="Q104" s="313"/>
    </row>
    <row r="105" spans="1:17" x14ac:dyDescent="0.25">
      <c r="A105" s="313"/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22"/>
      <c r="O105" s="322"/>
      <c r="P105" s="322"/>
      <c r="Q105" s="313"/>
    </row>
    <row r="106" spans="1:17" x14ac:dyDescent="0.25">
      <c r="A106" s="313"/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22"/>
      <c r="O106" s="322"/>
      <c r="P106" s="322"/>
      <c r="Q106" s="313"/>
    </row>
    <row r="107" spans="1:17" x14ac:dyDescent="0.25">
      <c r="A107" s="313"/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22"/>
      <c r="O107" s="322"/>
      <c r="P107" s="322"/>
      <c r="Q107" s="313"/>
    </row>
    <row r="108" spans="1:17" x14ac:dyDescent="0.25">
      <c r="A108" s="313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22"/>
      <c r="O108" s="322"/>
      <c r="P108" s="322"/>
      <c r="Q108" s="313"/>
    </row>
    <row r="109" spans="1:17" x14ac:dyDescent="0.25">
      <c r="A109" s="313"/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22"/>
      <c r="O109" s="322"/>
      <c r="P109" s="322"/>
      <c r="Q109" s="313"/>
    </row>
    <row r="110" spans="1:17" x14ac:dyDescent="0.25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22"/>
      <c r="O110" s="322"/>
      <c r="P110" s="322"/>
      <c r="Q110" s="313"/>
    </row>
    <row r="111" spans="1:17" x14ac:dyDescent="0.25">
      <c r="A111" s="313"/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22"/>
      <c r="O111" s="322"/>
      <c r="P111" s="322"/>
      <c r="Q111" s="313"/>
    </row>
    <row r="112" spans="1:17" x14ac:dyDescent="0.25">
      <c r="A112" s="313"/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22"/>
      <c r="O112" s="322"/>
      <c r="P112" s="322"/>
      <c r="Q112" s="313"/>
    </row>
    <row r="113" spans="1:17" x14ac:dyDescent="0.25">
      <c r="A113" s="313"/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22"/>
      <c r="O113" s="322"/>
      <c r="P113" s="322"/>
      <c r="Q113" s="313"/>
    </row>
    <row r="114" spans="1:17" x14ac:dyDescent="0.25">
      <c r="A114" s="313"/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22"/>
      <c r="O114" s="322"/>
      <c r="P114" s="322"/>
      <c r="Q114" s="313"/>
    </row>
    <row r="115" spans="1:17" x14ac:dyDescent="0.25">
      <c r="A115" s="313"/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22"/>
      <c r="O115" s="322"/>
      <c r="P115" s="322"/>
      <c r="Q115" s="313"/>
    </row>
    <row r="116" spans="1:17" x14ac:dyDescent="0.25">
      <c r="A116" s="313"/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22"/>
      <c r="O116" s="322"/>
      <c r="P116" s="322"/>
      <c r="Q116" s="313"/>
    </row>
    <row r="117" spans="1:17" x14ac:dyDescent="0.25">
      <c r="A117" s="313"/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22"/>
      <c r="O117" s="322"/>
      <c r="P117" s="322"/>
      <c r="Q117" s="313"/>
    </row>
    <row r="118" spans="1:17" x14ac:dyDescent="0.25">
      <c r="A118" s="31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22"/>
      <c r="O118" s="322"/>
      <c r="P118" s="322"/>
      <c r="Q118" s="313"/>
    </row>
    <row r="119" spans="1:17" x14ac:dyDescent="0.25">
      <c r="A119" s="313"/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22"/>
      <c r="O119" s="322"/>
      <c r="P119" s="322"/>
      <c r="Q119" s="313"/>
    </row>
    <row r="120" spans="1:17" x14ac:dyDescent="0.25">
      <c r="A120" s="313"/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22"/>
      <c r="O120" s="322"/>
      <c r="P120" s="322"/>
      <c r="Q120" s="313"/>
    </row>
    <row r="121" spans="1:17" x14ac:dyDescent="0.25">
      <c r="A121" s="313"/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22"/>
      <c r="O121" s="322"/>
      <c r="P121" s="322"/>
      <c r="Q121" s="313"/>
    </row>
    <row r="122" spans="1:17" x14ac:dyDescent="0.25">
      <c r="A122" s="313"/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22"/>
      <c r="O122" s="322"/>
      <c r="P122" s="322"/>
      <c r="Q122" s="313"/>
    </row>
    <row r="123" spans="1:17" x14ac:dyDescent="0.25">
      <c r="A123" s="313"/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22"/>
      <c r="O123" s="322"/>
      <c r="P123" s="322"/>
      <c r="Q123" s="313"/>
    </row>
    <row r="124" spans="1:17" x14ac:dyDescent="0.25">
      <c r="A124" s="313"/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22"/>
      <c r="O124" s="322"/>
      <c r="P124" s="322"/>
      <c r="Q124" s="313"/>
    </row>
    <row r="125" spans="1:17" x14ac:dyDescent="0.25">
      <c r="A125" s="313"/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22"/>
      <c r="O125" s="322"/>
      <c r="P125" s="322"/>
      <c r="Q125" s="313"/>
    </row>
    <row r="126" spans="1:17" x14ac:dyDescent="0.25">
      <c r="A126" s="313"/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22"/>
      <c r="O126" s="322"/>
      <c r="P126" s="322"/>
      <c r="Q126" s="313"/>
    </row>
    <row r="127" spans="1:17" x14ac:dyDescent="0.25">
      <c r="A127" s="313"/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22"/>
      <c r="O127" s="322"/>
      <c r="P127" s="322"/>
      <c r="Q127" s="313"/>
    </row>
    <row r="128" spans="1:17" x14ac:dyDescent="0.25">
      <c r="A128" s="313"/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22"/>
      <c r="O128" s="322"/>
      <c r="P128" s="322"/>
      <c r="Q128" s="313"/>
    </row>
    <row r="129" spans="1:17" x14ac:dyDescent="0.25">
      <c r="A129" s="313"/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22"/>
      <c r="O129" s="322"/>
      <c r="P129" s="322"/>
      <c r="Q129" s="313"/>
    </row>
    <row r="130" spans="1:17" x14ac:dyDescent="0.25">
      <c r="A130" s="313"/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22"/>
      <c r="O130" s="322"/>
      <c r="P130" s="322"/>
      <c r="Q130" s="313"/>
    </row>
    <row r="131" spans="1:17" x14ac:dyDescent="0.25">
      <c r="A131" s="313"/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22"/>
      <c r="O131" s="322"/>
      <c r="P131" s="322"/>
      <c r="Q131" s="313"/>
    </row>
    <row r="132" spans="1:17" x14ac:dyDescent="0.25">
      <c r="A132" s="313"/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22"/>
      <c r="O132" s="322"/>
      <c r="P132" s="322"/>
      <c r="Q132" s="313"/>
    </row>
    <row r="133" spans="1:17" x14ac:dyDescent="0.25">
      <c r="A133" s="313"/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22"/>
      <c r="O133" s="322"/>
      <c r="P133" s="322"/>
      <c r="Q133" s="313"/>
    </row>
    <row r="134" spans="1:17" x14ac:dyDescent="0.25">
      <c r="A134" s="313"/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22"/>
      <c r="O134" s="322"/>
      <c r="P134" s="322"/>
      <c r="Q134" s="313"/>
    </row>
    <row r="135" spans="1:17" x14ac:dyDescent="0.25">
      <c r="A135" s="313"/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22"/>
      <c r="O135" s="322"/>
      <c r="P135" s="322"/>
      <c r="Q135" s="313"/>
    </row>
    <row r="136" spans="1:17" x14ac:dyDescent="0.25">
      <c r="A136" s="313"/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22"/>
      <c r="O136" s="322"/>
      <c r="P136" s="322"/>
      <c r="Q136" s="313"/>
    </row>
    <row r="137" spans="1:17" x14ac:dyDescent="0.25">
      <c r="A137" s="313"/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22"/>
      <c r="O137" s="322"/>
      <c r="P137" s="322"/>
      <c r="Q137" s="313"/>
    </row>
    <row r="138" spans="1:17" x14ac:dyDescent="0.25">
      <c r="A138" s="313"/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22"/>
      <c r="O138" s="322"/>
      <c r="P138" s="322"/>
      <c r="Q138" s="313"/>
    </row>
    <row r="139" spans="1:17" x14ac:dyDescent="0.25">
      <c r="A139" s="313"/>
      <c r="B139" s="313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22"/>
      <c r="O139" s="322"/>
      <c r="P139" s="322"/>
      <c r="Q139" s="313"/>
    </row>
    <row r="140" spans="1:17" x14ac:dyDescent="0.25">
      <c r="A140" s="313"/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22"/>
      <c r="O140" s="322"/>
      <c r="P140" s="322"/>
      <c r="Q140" s="313"/>
    </row>
    <row r="141" spans="1:17" x14ac:dyDescent="0.25">
      <c r="A141" s="313"/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22"/>
      <c r="O141" s="322"/>
      <c r="P141" s="322"/>
      <c r="Q141" s="313"/>
    </row>
    <row r="142" spans="1:17" x14ac:dyDescent="0.25">
      <c r="A142" s="313"/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22"/>
      <c r="O142" s="322"/>
      <c r="P142" s="322"/>
      <c r="Q142" s="313"/>
    </row>
    <row r="143" spans="1:17" x14ac:dyDescent="0.25">
      <c r="A143" s="313"/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22"/>
      <c r="O143" s="322"/>
      <c r="P143" s="322"/>
      <c r="Q143" s="313"/>
    </row>
    <row r="144" spans="1:17" x14ac:dyDescent="0.25">
      <c r="A144" s="313"/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22"/>
      <c r="O144" s="322"/>
      <c r="P144" s="322"/>
      <c r="Q144" s="313"/>
    </row>
    <row r="145" spans="1:17" x14ac:dyDescent="0.25">
      <c r="A145" s="313"/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22"/>
      <c r="O145" s="322"/>
      <c r="P145" s="322"/>
      <c r="Q145" s="313"/>
    </row>
    <row r="146" spans="1:17" x14ac:dyDescent="0.25">
      <c r="A146" s="313"/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22"/>
      <c r="O146" s="322"/>
      <c r="P146" s="322"/>
      <c r="Q146" s="313"/>
    </row>
    <row r="147" spans="1:17" x14ac:dyDescent="0.25">
      <c r="A147" s="313"/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22"/>
      <c r="O147" s="322"/>
      <c r="P147" s="322"/>
      <c r="Q147" s="313"/>
    </row>
    <row r="148" spans="1:17" x14ac:dyDescent="0.25">
      <c r="A148" s="313"/>
      <c r="B148" s="313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22"/>
      <c r="O148" s="322"/>
      <c r="P148" s="322"/>
      <c r="Q148" s="313"/>
    </row>
    <row r="149" spans="1:17" x14ac:dyDescent="0.25">
      <c r="A149" s="313"/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22"/>
      <c r="O149" s="322"/>
      <c r="P149" s="322"/>
      <c r="Q149" s="313"/>
    </row>
    <row r="150" spans="1:17" x14ac:dyDescent="0.25">
      <c r="A150" s="313"/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22"/>
      <c r="O150" s="322"/>
      <c r="P150" s="322"/>
      <c r="Q150" s="313"/>
    </row>
    <row r="151" spans="1:17" x14ac:dyDescent="0.25">
      <c r="A151" s="313"/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22"/>
      <c r="O151" s="322"/>
      <c r="P151" s="322"/>
      <c r="Q151" s="313"/>
    </row>
    <row r="152" spans="1:17" x14ac:dyDescent="0.25">
      <c r="A152" s="313"/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22"/>
      <c r="O152" s="322"/>
      <c r="P152" s="322"/>
      <c r="Q152" s="313"/>
    </row>
    <row r="153" spans="1:17" x14ac:dyDescent="0.25">
      <c r="A153" s="313"/>
      <c r="B153" s="313"/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22"/>
      <c r="O153" s="322"/>
      <c r="P153" s="322"/>
      <c r="Q153" s="313"/>
    </row>
    <row r="154" spans="1:17" x14ac:dyDescent="0.25">
      <c r="A154" s="313"/>
      <c r="B154" s="313"/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22"/>
      <c r="O154" s="322"/>
      <c r="P154" s="322"/>
      <c r="Q154" s="313"/>
    </row>
    <row r="155" spans="1:17" x14ac:dyDescent="0.25">
      <c r="A155" s="313"/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22"/>
      <c r="O155" s="322"/>
      <c r="P155" s="322"/>
      <c r="Q155" s="313"/>
    </row>
    <row r="156" spans="1:17" x14ac:dyDescent="0.25">
      <c r="A156" s="313"/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22"/>
      <c r="O156" s="322"/>
      <c r="P156" s="322"/>
      <c r="Q156" s="313"/>
    </row>
    <row r="157" spans="1:17" x14ac:dyDescent="0.25">
      <c r="A157" s="313"/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22"/>
      <c r="O157" s="322"/>
      <c r="P157" s="322"/>
      <c r="Q157" s="313"/>
    </row>
    <row r="158" spans="1:17" x14ac:dyDescent="0.25">
      <c r="A158" s="313"/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22"/>
      <c r="O158" s="322"/>
      <c r="P158" s="322"/>
      <c r="Q158" s="313"/>
    </row>
    <row r="159" spans="1:17" x14ac:dyDescent="0.25">
      <c r="A159" s="313"/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22"/>
      <c r="O159" s="322"/>
      <c r="P159" s="322"/>
      <c r="Q159" s="313"/>
    </row>
    <row r="160" spans="1:17" x14ac:dyDescent="0.25">
      <c r="A160" s="313"/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22"/>
      <c r="O160" s="322"/>
      <c r="P160" s="322"/>
      <c r="Q160" s="313"/>
    </row>
    <row r="161" spans="1:17" x14ac:dyDescent="0.25">
      <c r="A161" s="313"/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22"/>
      <c r="O161" s="322"/>
      <c r="P161" s="322"/>
      <c r="Q161" s="313"/>
    </row>
    <row r="162" spans="1:17" x14ac:dyDescent="0.25">
      <c r="A162" s="313"/>
      <c r="B162" s="313"/>
      <c r="C162" s="313"/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22"/>
      <c r="O162" s="322"/>
      <c r="P162" s="322"/>
      <c r="Q162" s="313"/>
    </row>
    <row r="163" spans="1:17" x14ac:dyDescent="0.25">
      <c r="A163" s="313"/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22"/>
      <c r="O163" s="322"/>
      <c r="P163" s="322"/>
      <c r="Q163" s="313"/>
    </row>
    <row r="164" spans="1:17" x14ac:dyDescent="0.25">
      <c r="A164" s="313"/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22"/>
      <c r="O164" s="322"/>
      <c r="P164" s="322"/>
      <c r="Q164" s="313"/>
    </row>
    <row r="165" spans="1:17" x14ac:dyDescent="0.25">
      <c r="A165" s="313"/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22"/>
      <c r="O165" s="322"/>
      <c r="P165" s="322"/>
      <c r="Q165" s="313"/>
    </row>
    <row r="166" spans="1:17" x14ac:dyDescent="0.25">
      <c r="A166" s="313"/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22"/>
      <c r="O166" s="322"/>
      <c r="P166" s="322"/>
      <c r="Q166" s="313"/>
    </row>
    <row r="167" spans="1:17" x14ac:dyDescent="0.25">
      <c r="A167" s="313"/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3"/>
      <c r="N167" s="322"/>
      <c r="O167" s="322"/>
      <c r="P167" s="322"/>
      <c r="Q167" s="313"/>
    </row>
    <row r="168" spans="1:17" x14ac:dyDescent="0.25">
      <c r="A168" s="313"/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22"/>
      <c r="O168" s="322"/>
      <c r="P168" s="322"/>
      <c r="Q168" s="313"/>
    </row>
    <row r="169" spans="1:17" x14ac:dyDescent="0.25">
      <c r="A169" s="313"/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  <c r="N169" s="322"/>
      <c r="O169" s="322"/>
      <c r="P169" s="322"/>
      <c r="Q169" s="313"/>
    </row>
    <row r="170" spans="1:17" x14ac:dyDescent="0.25">
      <c r="A170" s="313"/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22"/>
      <c r="O170" s="322"/>
      <c r="P170" s="322"/>
      <c r="Q170" s="313"/>
    </row>
    <row r="171" spans="1:17" x14ac:dyDescent="0.25">
      <c r="A171" s="313"/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22"/>
      <c r="O171" s="322"/>
      <c r="P171" s="322"/>
      <c r="Q171" s="313"/>
    </row>
    <row r="172" spans="1:17" x14ac:dyDescent="0.25">
      <c r="A172" s="313"/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22"/>
      <c r="O172" s="322"/>
      <c r="P172" s="322"/>
      <c r="Q172" s="313"/>
    </row>
    <row r="173" spans="1:17" x14ac:dyDescent="0.25">
      <c r="A173" s="313"/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22"/>
      <c r="O173" s="322"/>
      <c r="P173" s="322"/>
      <c r="Q173" s="313"/>
    </row>
    <row r="174" spans="1:17" x14ac:dyDescent="0.25">
      <c r="A174" s="313"/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22"/>
      <c r="O174" s="322"/>
      <c r="P174" s="322"/>
      <c r="Q174" s="313"/>
    </row>
    <row r="175" spans="1:17" x14ac:dyDescent="0.25">
      <c r="A175" s="313"/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22"/>
      <c r="O175" s="322"/>
      <c r="P175" s="322"/>
      <c r="Q175" s="313"/>
    </row>
    <row r="176" spans="1:17" x14ac:dyDescent="0.25">
      <c r="A176" s="313"/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22"/>
      <c r="O176" s="322"/>
      <c r="P176" s="322"/>
      <c r="Q176" s="313"/>
    </row>
    <row r="177" spans="1:17" x14ac:dyDescent="0.25">
      <c r="A177" s="313"/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22"/>
      <c r="O177" s="322"/>
      <c r="P177" s="322"/>
      <c r="Q177" s="313"/>
    </row>
    <row r="178" spans="1:17" x14ac:dyDescent="0.25">
      <c r="A178" s="313"/>
      <c r="B178" s="313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22"/>
      <c r="O178" s="322"/>
      <c r="P178" s="322"/>
      <c r="Q178" s="313"/>
    </row>
    <row r="179" spans="1:17" x14ac:dyDescent="0.25">
      <c r="A179" s="313"/>
      <c r="B179" s="313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22"/>
      <c r="O179" s="322"/>
      <c r="P179" s="322"/>
      <c r="Q179" s="313"/>
    </row>
    <row r="180" spans="1:17" x14ac:dyDescent="0.25">
      <c r="A180" s="313"/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22"/>
      <c r="O180" s="322"/>
      <c r="P180" s="322"/>
      <c r="Q180" s="313"/>
    </row>
    <row r="181" spans="1:17" x14ac:dyDescent="0.25">
      <c r="A181" s="313"/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22"/>
      <c r="O181" s="322"/>
      <c r="P181" s="322"/>
      <c r="Q181" s="313"/>
    </row>
    <row r="182" spans="1:17" x14ac:dyDescent="0.25">
      <c r="A182" s="313"/>
      <c r="B182" s="313"/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3"/>
      <c r="N182" s="322"/>
      <c r="O182" s="322"/>
      <c r="P182" s="322"/>
      <c r="Q182" s="313"/>
    </row>
    <row r="183" spans="1:17" x14ac:dyDescent="0.25">
      <c r="A183" s="313"/>
      <c r="B183" s="313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22"/>
      <c r="O183" s="322"/>
      <c r="P183" s="322"/>
      <c r="Q183" s="313"/>
    </row>
    <row r="184" spans="1:17" x14ac:dyDescent="0.25">
      <c r="A184" s="313"/>
      <c r="B184" s="313"/>
      <c r="C184" s="313"/>
      <c r="D184" s="313"/>
      <c r="E184" s="313"/>
      <c r="F184" s="313"/>
      <c r="G184" s="313"/>
      <c r="H184" s="313"/>
      <c r="I184" s="313"/>
      <c r="J184" s="313"/>
      <c r="K184" s="313"/>
      <c r="L184" s="313"/>
      <c r="M184" s="313"/>
      <c r="N184" s="322"/>
      <c r="O184" s="322"/>
      <c r="P184" s="322"/>
      <c r="Q184" s="313"/>
    </row>
    <row r="185" spans="1:17" x14ac:dyDescent="0.25">
      <c r="A185" s="313"/>
      <c r="B185" s="313"/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22"/>
      <c r="O185" s="322"/>
      <c r="P185" s="322"/>
      <c r="Q185" s="313"/>
    </row>
    <row r="186" spans="1:17" x14ac:dyDescent="0.25">
      <c r="A186" s="313"/>
      <c r="B186" s="313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22"/>
      <c r="O186" s="322"/>
      <c r="P186" s="322"/>
      <c r="Q186" s="313"/>
    </row>
    <row r="187" spans="1:17" x14ac:dyDescent="0.25">
      <c r="A187" s="313"/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22"/>
      <c r="O187" s="322"/>
      <c r="P187" s="322"/>
      <c r="Q187" s="313"/>
    </row>
    <row r="188" spans="1:17" x14ac:dyDescent="0.25">
      <c r="A188" s="313"/>
      <c r="B188" s="313"/>
      <c r="C188" s="313"/>
      <c r="D188" s="313"/>
      <c r="E188" s="313"/>
      <c r="F188" s="313"/>
      <c r="G188" s="313"/>
      <c r="H188" s="313"/>
      <c r="I188" s="313"/>
      <c r="J188" s="313"/>
      <c r="K188" s="313"/>
      <c r="L188" s="313"/>
      <c r="M188" s="313"/>
      <c r="N188" s="322"/>
      <c r="O188" s="322"/>
      <c r="P188" s="322"/>
      <c r="Q188" s="313"/>
    </row>
    <row r="189" spans="1:17" x14ac:dyDescent="0.25">
      <c r="A189" s="313"/>
      <c r="B189" s="313"/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22"/>
      <c r="O189" s="322"/>
      <c r="P189" s="322"/>
      <c r="Q189" s="313"/>
    </row>
    <row r="190" spans="1:17" ht="13.8" hidden="1" thickTop="1" x14ac:dyDescent="0.25">
      <c r="A190" s="313"/>
      <c r="B190" s="313"/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21" t="s">
        <v>188</v>
      </c>
      <c r="N190" s="320"/>
      <c r="O190" s="320"/>
      <c r="P190" s="320"/>
      <c r="Q190" s="319"/>
    </row>
    <row r="191" spans="1:17" hidden="1" x14ac:dyDescent="0.25">
      <c r="A191" s="313"/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  <c r="L191" s="313"/>
      <c r="M191" s="316"/>
      <c r="N191" s="315"/>
      <c r="O191" s="315"/>
      <c r="P191" s="315"/>
      <c r="Q191" s="314"/>
    </row>
    <row r="192" spans="1:17" hidden="1" x14ac:dyDescent="0.25">
      <c r="A192" s="313"/>
      <c r="B192" s="313"/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6">
        <v>1</v>
      </c>
      <c r="N192" s="315" t="s">
        <v>187</v>
      </c>
      <c r="O192" s="315">
        <f>IF(ISNA(MATCH(PROPER(LEFT(E8,3)),Q192:Q203,0)),1,MATCH(PROPER(LEFT(E8,3)),Q192:Q203,0))</f>
        <v>1</v>
      </c>
      <c r="P192" s="315"/>
      <c r="Q192" s="314" t="s">
        <v>187</v>
      </c>
    </row>
    <row r="193" spans="1:17" hidden="1" x14ac:dyDescent="0.25">
      <c r="A193" s="313"/>
      <c r="B193" s="313"/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6">
        <v>2</v>
      </c>
      <c r="N193" s="315" t="s">
        <v>186</v>
      </c>
      <c r="O193" s="315">
        <f t="shared" ref="O193:O203" si="12">IF(O192=12,1,O192+1)</f>
        <v>2</v>
      </c>
      <c r="P193" s="315"/>
      <c r="Q193" s="314" t="s">
        <v>186</v>
      </c>
    </row>
    <row r="194" spans="1:17" hidden="1" x14ac:dyDescent="0.25">
      <c r="A194" s="313"/>
      <c r="B194" s="313"/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6">
        <v>3</v>
      </c>
      <c r="N194" s="315" t="s">
        <v>185</v>
      </c>
      <c r="O194" s="315">
        <f t="shared" si="12"/>
        <v>3</v>
      </c>
      <c r="P194" s="315"/>
      <c r="Q194" s="314" t="s">
        <v>185</v>
      </c>
    </row>
    <row r="195" spans="1:17" hidden="1" x14ac:dyDescent="0.25">
      <c r="A195" s="313"/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  <c r="L195" s="313"/>
      <c r="M195" s="316">
        <v>4</v>
      </c>
      <c r="N195" s="315" t="s">
        <v>184</v>
      </c>
      <c r="O195" s="315">
        <f t="shared" si="12"/>
        <v>4</v>
      </c>
      <c r="P195" s="315"/>
      <c r="Q195" s="314" t="s">
        <v>184</v>
      </c>
    </row>
    <row r="196" spans="1:17" hidden="1" x14ac:dyDescent="0.25">
      <c r="A196" s="313"/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6">
        <v>5</v>
      </c>
      <c r="N196" s="315" t="s">
        <v>183</v>
      </c>
      <c r="O196" s="315">
        <f t="shared" si="12"/>
        <v>5</v>
      </c>
      <c r="P196" s="315"/>
      <c r="Q196" s="314" t="s">
        <v>183</v>
      </c>
    </row>
    <row r="197" spans="1:17" hidden="1" x14ac:dyDescent="0.25">
      <c r="A197" s="313"/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6">
        <v>6</v>
      </c>
      <c r="N197" s="315" t="s">
        <v>182</v>
      </c>
      <c r="O197" s="315">
        <f t="shared" si="12"/>
        <v>6</v>
      </c>
      <c r="P197" s="315"/>
      <c r="Q197" s="314" t="s">
        <v>182</v>
      </c>
    </row>
    <row r="198" spans="1:17" hidden="1" x14ac:dyDescent="0.25">
      <c r="A198" s="313"/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6">
        <v>7</v>
      </c>
      <c r="N198" s="315" t="s">
        <v>181</v>
      </c>
      <c r="O198" s="315">
        <f t="shared" si="12"/>
        <v>7</v>
      </c>
      <c r="P198" s="315"/>
      <c r="Q198" s="314" t="s">
        <v>181</v>
      </c>
    </row>
    <row r="199" spans="1:17" hidden="1" x14ac:dyDescent="0.25">
      <c r="A199" s="313"/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6">
        <v>8</v>
      </c>
      <c r="N199" s="315" t="s">
        <v>180</v>
      </c>
      <c r="O199" s="315">
        <f t="shared" si="12"/>
        <v>8</v>
      </c>
      <c r="P199" s="315"/>
      <c r="Q199" s="314" t="s">
        <v>180</v>
      </c>
    </row>
    <row r="200" spans="1:17" hidden="1" x14ac:dyDescent="0.25">
      <c r="A200" s="313"/>
      <c r="B200" s="313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6">
        <v>9</v>
      </c>
      <c r="N200" s="315" t="s">
        <v>179</v>
      </c>
      <c r="O200" s="315">
        <f t="shared" si="12"/>
        <v>9</v>
      </c>
      <c r="P200" s="315"/>
      <c r="Q200" s="314" t="s">
        <v>179</v>
      </c>
    </row>
    <row r="201" spans="1:17" hidden="1" x14ac:dyDescent="0.25">
      <c r="A201" s="313"/>
      <c r="B201" s="313"/>
      <c r="C201" s="313"/>
      <c r="D201" s="313"/>
      <c r="E201" s="313"/>
      <c r="F201" s="313"/>
      <c r="G201" s="313"/>
      <c r="H201" s="313"/>
      <c r="I201" s="313"/>
      <c r="J201" s="313"/>
      <c r="K201" s="313"/>
      <c r="L201" s="313"/>
      <c r="M201" s="316">
        <v>10</v>
      </c>
      <c r="N201" s="315" t="s">
        <v>178</v>
      </c>
      <c r="O201" s="315">
        <f t="shared" si="12"/>
        <v>10</v>
      </c>
      <c r="P201" s="315"/>
      <c r="Q201" s="314" t="s">
        <v>178</v>
      </c>
    </row>
    <row r="202" spans="1:17" hidden="1" x14ac:dyDescent="0.25">
      <c r="A202" s="313"/>
      <c r="B202" s="313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6">
        <v>11</v>
      </c>
      <c r="N202" s="315" t="s">
        <v>177</v>
      </c>
      <c r="O202" s="315">
        <f t="shared" si="12"/>
        <v>11</v>
      </c>
      <c r="P202" s="315"/>
      <c r="Q202" s="314" t="s">
        <v>177</v>
      </c>
    </row>
    <row r="203" spans="1:17" hidden="1" x14ac:dyDescent="0.25">
      <c r="A203" s="313"/>
      <c r="B203" s="313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6">
        <v>12</v>
      </c>
      <c r="N203" s="315" t="s">
        <v>176</v>
      </c>
      <c r="O203" s="315">
        <f t="shared" si="12"/>
        <v>12</v>
      </c>
      <c r="P203" s="315"/>
      <c r="Q203" s="314" t="s">
        <v>176</v>
      </c>
    </row>
    <row r="204" spans="1:17" hidden="1" x14ac:dyDescent="0.25">
      <c r="A204" s="313"/>
      <c r="B204" s="313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6"/>
      <c r="N204" s="315"/>
      <c r="O204" s="315"/>
      <c r="P204" s="315"/>
      <c r="Q204" s="314"/>
    </row>
    <row r="205" spans="1:17" hidden="1" x14ac:dyDescent="0.25">
      <c r="A205" s="313"/>
      <c r="B205" s="313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8">
        <f>IF(C12="Jan",24,MATCH("Jan",C12:C23,0)+11)</f>
        <v>24</v>
      </c>
      <c r="N205" s="315">
        <f>Q208-M205</f>
        <v>336</v>
      </c>
      <c r="O205" s="315"/>
      <c r="P205" s="315"/>
      <c r="Q205" s="314"/>
    </row>
    <row r="206" spans="1:17" hidden="1" x14ac:dyDescent="0.25">
      <c r="A206" s="313"/>
      <c r="B206" s="313"/>
      <c r="C206" s="313"/>
      <c r="D206" s="313"/>
      <c r="E206" s="313"/>
      <c r="F206" s="313"/>
      <c r="G206" s="313"/>
      <c r="H206" s="313"/>
      <c r="I206" s="313"/>
      <c r="J206" s="313"/>
      <c r="K206" s="313"/>
      <c r="L206" s="313"/>
      <c r="M206" s="316">
        <f t="shared" ref="M206:M234" si="13">MIN(Q$208,M205+12)</f>
        <v>36</v>
      </c>
      <c r="N206" s="315">
        <f>Q208-M206</f>
        <v>324</v>
      </c>
      <c r="O206" s="315"/>
      <c r="P206" s="315"/>
      <c r="Q206" s="314"/>
    </row>
    <row r="207" spans="1:17" hidden="1" x14ac:dyDescent="0.25">
      <c r="A207" s="313"/>
      <c r="B207" s="313"/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6">
        <f t="shared" si="13"/>
        <v>48</v>
      </c>
      <c r="N207" s="315">
        <f>Q208-M207</f>
        <v>312</v>
      </c>
      <c r="O207" s="315"/>
      <c r="P207" s="315"/>
      <c r="Q207" s="314"/>
    </row>
    <row r="208" spans="1:17" hidden="1" x14ac:dyDescent="0.25">
      <c r="A208" s="313"/>
      <c r="B208" s="313"/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6">
        <f t="shared" si="13"/>
        <v>60</v>
      </c>
      <c r="N208" s="315">
        <f>Q208-M208</f>
        <v>300</v>
      </c>
      <c r="O208" s="315"/>
      <c r="P208" s="315" t="s">
        <v>175</v>
      </c>
      <c r="Q208" s="314">
        <f>E6*12</f>
        <v>360</v>
      </c>
    </row>
    <row r="209" spans="1:17" hidden="1" x14ac:dyDescent="0.25">
      <c r="A209" s="313"/>
      <c r="B209" s="313"/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  <c r="M209" s="316">
        <f t="shared" si="13"/>
        <v>72</v>
      </c>
      <c r="N209" s="315">
        <f>Q208-M209</f>
        <v>288</v>
      </c>
      <c r="O209" s="315"/>
      <c r="P209" s="315" t="s">
        <v>174</v>
      </c>
      <c r="Q209" s="317">
        <f>E7</f>
        <v>2020</v>
      </c>
    </row>
    <row r="210" spans="1:17" hidden="1" x14ac:dyDescent="0.25">
      <c r="A210" s="313"/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6">
        <f t="shared" si="13"/>
        <v>84</v>
      </c>
      <c r="N210" s="315">
        <f>Q208-M210</f>
        <v>276</v>
      </c>
      <c r="O210" s="315"/>
      <c r="P210" s="315" t="s">
        <v>173</v>
      </c>
      <c r="Q210" s="314">
        <f>Q208/12</f>
        <v>30</v>
      </c>
    </row>
    <row r="211" spans="1:17" hidden="1" x14ac:dyDescent="0.25">
      <c r="A211" s="313"/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6">
        <f t="shared" si="13"/>
        <v>96</v>
      </c>
      <c r="N211" s="315">
        <f>Q208-M211</f>
        <v>264</v>
      </c>
      <c r="O211" s="315"/>
      <c r="P211" s="315" t="s">
        <v>172</v>
      </c>
      <c r="Q211" s="317">
        <f>IF(E7,Q210+Q209-IF(PROPER(LEFT(C12,3))="Jan",1,0),"")</f>
        <v>2049</v>
      </c>
    </row>
    <row r="212" spans="1:17" hidden="1" x14ac:dyDescent="0.25">
      <c r="A212" s="313"/>
      <c r="B212" s="313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6">
        <f t="shared" si="13"/>
        <v>108</v>
      </c>
      <c r="N212" s="315">
        <f>Q208-M212</f>
        <v>252</v>
      </c>
      <c r="O212" s="315"/>
      <c r="P212" s="315" t="s">
        <v>171</v>
      </c>
      <c r="Q212" s="314">
        <f>O203</f>
        <v>12</v>
      </c>
    </row>
    <row r="213" spans="1:17" hidden="1" x14ac:dyDescent="0.25">
      <c r="A213" s="313"/>
      <c r="B213" s="313"/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6">
        <f t="shared" si="13"/>
        <v>120</v>
      </c>
      <c r="N213" s="315">
        <f>Q208-M213</f>
        <v>240</v>
      </c>
      <c r="O213" s="315"/>
      <c r="P213" s="315"/>
      <c r="Q213" s="314"/>
    </row>
    <row r="214" spans="1:17" hidden="1" x14ac:dyDescent="0.25">
      <c r="A214" s="313"/>
      <c r="B214" s="313"/>
      <c r="C214" s="313"/>
      <c r="D214" s="313"/>
      <c r="E214" s="313"/>
      <c r="F214" s="313"/>
      <c r="G214" s="313"/>
      <c r="H214" s="313"/>
      <c r="I214" s="313"/>
      <c r="J214" s="313"/>
      <c r="K214" s="313"/>
      <c r="L214" s="313"/>
      <c r="M214" s="316">
        <f t="shared" si="13"/>
        <v>132</v>
      </c>
      <c r="N214" s="315">
        <f>Q208-M214</f>
        <v>228</v>
      </c>
      <c r="O214" s="315"/>
      <c r="P214" s="315"/>
      <c r="Q214" s="314"/>
    </row>
    <row r="215" spans="1:17" hidden="1" x14ac:dyDescent="0.25">
      <c r="A215" s="313"/>
      <c r="B215" s="313"/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316">
        <f t="shared" si="13"/>
        <v>144</v>
      </c>
      <c r="N215" s="315">
        <f>Q208-M215</f>
        <v>216</v>
      </c>
      <c r="O215" s="315"/>
      <c r="P215" s="315"/>
      <c r="Q215" s="314"/>
    </row>
    <row r="216" spans="1:17" hidden="1" x14ac:dyDescent="0.25">
      <c r="A216" s="313"/>
      <c r="B216" s="313"/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6">
        <f t="shared" si="13"/>
        <v>156</v>
      </c>
      <c r="N216" s="315">
        <f>Q208-M216</f>
        <v>204</v>
      </c>
      <c r="O216" s="315"/>
      <c r="P216" s="315"/>
      <c r="Q216" s="314"/>
    </row>
    <row r="217" spans="1:17" hidden="1" x14ac:dyDescent="0.25">
      <c r="A217" s="313"/>
      <c r="B217" s="313"/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6">
        <f t="shared" si="13"/>
        <v>168</v>
      </c>
      <c r="N217" s="315">
        <f>Q208-M217</f>
        <v>192</v>
      </c>
      <c r="O217" s="315"/>
      <c r="P217" s="315"/>
      <c r="Q217" s="314"/>
    </row>
    <row r="218" spans="1:17" hidden="1" x14ac:dyDescent="0.25">
      <c r="A218" s="313"/>
      <c r="B218" s="313"/>
      <c r="C218" s="313"/>
      <c r="D218" s="313"/>
      <c r="E218" s="313"/>
      <c r="F218" s="313"/>
      <c r="G218" s="313"/>
      <c r="H218" s="313"/>
      <c r="I218" s="313"/>
      <c r="J218" s="313"/>
      <c r="K218" s="313"/>
      <c r="L218" s="313"/>
      <c r="M218" s="316">
        <f t="shared" si="13"/>
        <v>180</v>
      </c>
      <c r="N218" s="315">
        <f>Q208-M218</f>
        <v>180</v>
      </c>
      <c r="O218" s="315"/>
      <c r="P218" s="315"/>
      <c r="Q218" s="314"/>
    </row>
    <row r="219" spans="1:17" hidden="1" x14ac:dyDescent="0.25">
      <c r="A219" s="313"/>
      <c r="B219" s="313"/>
      <c r="C219" s="313"/>
      <c r="D219" s="313"/>
      <c r="E219" s="313"/>
      <c r="F219" s="313"/>
      <c r="G219" s="313"/>
      <c r="H219" s="313"/>
      <c r="I219" s="313"/>
      <c r="J219" s="313"/>
      <c r="K219" s="313"/>
      <c r="L219" s="313"/>
      <c r="M219" s="316">
        <f t="shared" si="13"/>
        <v>192</v>
      </c>
      <c r="N219" s="315">
        <f>Q208-M219</f>
        <v>168</v>
      </c>
      <c r="O219" s="315"/>
      <c r="P219" s="315"/>
      <c r="Q219" s="314"/>
    </row>
    <row r="220" spans="1:17" hidden="1" x14ac:dyDescent="0.25">
      <c r="A220" s="313"/>
      <c r="B220" s="313"/>
      <c r="C220" s="313"/>
      <c r="D220" s="313"/>
      <c r="E220" s="313"/>
      <c r="F220" s="313"/>
      <c r="G220" s="313"/>
      <c r="H220" s="313"/>
      <c r="I220" s="313"/>
      <c r="J220" s="313"/>
      <c r="K220" s="313"/>
      <c r="L220" s="313"/>
      <c r="M220" s="316">
        <f t="shared" si="13"/>
        <v>204</v>
      </c>
      <c r="N220" s="315">
        <f>Q208-M220</f>
        <v>156</v>
      </c>
      <c r="O220" s="315"/>
      <c r="P220" s="315"/>
      <c r="Q220" s="314"/>
    </row>
    <row r="221" spans="1:17" hidden="1" x14ac:dyDescent="0.25">
      <c r="A221" s="313"/>
      <c r="B221" s="313"/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6">
        <f t="shared" si="13"/>
        <v>216</v>
      </c>
      <c r="N221" s="315">
        <f>Q208-M221</f>
        <v>144</v>
      </c>
      <c r="O221" s="315"/>
      <c r="P221" s="315"/>
      <c r="Q221" s="314"/>
    </row>
    <row r="222" spans="1:17" hidden="1" x14ac:dyDescent="0.25">
      <c r="A222" s="313"/>
      <c r="B222" s="313"/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316">
        <f t="shared" si="13"/>
        <v>228</v>
      </c>
      <c r="N222" s="315">
        <f>Q208-M222</f>
        <v>132</v>
      </c>
      <c r="O222" s="315"/>
      <c r="P222" s="315"/>
      <c r="Q222" s="314"/>
    </row>
    <row r="223" spans="1:17" hidden="1" x14ac:dyDescent="0.25">
      <c r="A223" s="313"/>
      <c r="B223" s="313"/>
      <c r="C223" s="313"/>
      <c r="D223" s="313"/>
      <c r="E223" s="313"/>
      <c r="F223" s="313"/>
      <c r="G223" s="313"/>
      <c r="H223" s="313"/>
      <c r="I223" s="313"/>
      <c r="J223" s="313"/>
      <c r="K223" s="313"/>
      <c r="L223" s="313"/>
      <c r="M223" s="316">
        <f t="shared" si="13"/>
        <v>240</v>
      </c>
      <c r="N223" s="315">
        <f>Q208-M223</f>
        <v>120</v>
      </c>
      <c r="O223" s="315"/>
      <c r="P223" s="315"/>
      <c r="Q223" s="314"/>
    </row>
    <row r="224" spans="1:17" hidden="1" x14ac:dyDescent="0.25">
      <c r="A224" s="313"/>
      <c r="B224" s="313"/>
      <c r="C224" s="313"/>
      <c r="D224" s="313"/>
      <c r="E224" s="313"/>
      <c r="F224" s="313"/>
      <c r="G224" s="313"/>
      <c r="H224" s="313"/>
      <c r="I224" s="313"/>
      <c r="J224" s="313"/>
      <c r="K224" s="313"/>
      <c r="L224" s="313"/>
      <c r="M224" s="316">
        <f t="shared" si="13"/>
        <v>252</v>
      </c>
      <c r="N224" s="315">
        <f>Q208-M224</f>
        <v>108</v>
      </c>
      <c r="O224" s="315"/>
      <c r="P224" s="315"/>
      <c r="Q224" s="314"/>
    </row>
    <row r="225" spans="1:17" hidden="1" x14ac:dyDescent="0.25">
      <c r="A225" s="313"/>
      <c r="B225" s="313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6">
        <f t="shared" si="13"/>
        <v>264</v>
      </c>
      <c r="N225" s="315">
        <f>Q208-M225</f>
        <v>96</v>
      </c>
      <c r="O225" s="315"/>
      <c r="P225" s="315"/>
      <c r="Q225" s="314"/>
    </row>
    <row r="226" spans="1:17" hidden="1" x14ac:dyDescent="0.25">
      <c r="A226" s="313"/>
      <c r="B226" s="313"/>
      <c r="C226" s="313"/>
      <c r="D226" s="313"/>
      <c r="E226" s="313"/>
      <c r="F226" s="313"/>
      <c r="G226" s="313"/>
      <c r="H226" s="313"/>
      <c r="I226" s="313"/>
      <c r="J226" s="313"/>
      <c r="K226" s="313"/>
      <c r="L226" s="313"/>
      <c r="M226" s="316">
        <f t="shared" si="13"/>
        <v>276</v>
      </c>
      <c r="N226" s="315">
        <f>Q208-M226</f>
        <v>84</v>
      </c>
      <c r="O226" s="315"/>
      <c r="P226" s="315"/>
      <c r="Q226" s="314"/>
    </row>
    <row r="227" spans="1:17" hidden="1" x14ac:dyDescent="0.25">
      <c r="A227" s="313"/>
      <c r="B227" s="313"/>
      <c r="C227" s="313"/>
      <c r="D227" s="313"/>
      <c r="E227" s="313"/>
      <c r="F227" s="313"/>
      <c r="G227" s="313"/>
      <c r="H227" s="313"/>
      <c r="I227" s="313"/>
      <c r="J227" s="313"/>
      <c r="K227" s="313"/>
      <c r="L227" s="313"/>
      <c r="M227" s="316">
        <f t="shared" si="13"/>
        <v>288</v>
      </c>
      <c r="N227" s="315">
        <f>Q208-M227</f>
        <v>72</v>
      </c>
      <c r="O227" s="315"/>
      <c r="P227" s="315"/>
      <c r="Q227" s="314"/>
    </row>
    <row r="228" spans="1:17" hidden="1" x14ac:dyDescent="0.25">
      <c r="A228" s="313"/>
      <c r="B228" s="313"/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6">
        <f t="shared" si="13"/>
        <v>300</v>
      </c>
      <c r="N228" s="315">
        <f>Q208-M228</f>
        <v>60</v>
      </c>
      <c r="O228" s="315"/>
      <c r="P228" s="315"/>
      <c r="Q228" s="314"/>
    </row>
    <row r="229" spans="1:17" hidden="1" x14ac:dyDescent="0.25">
      <c r="A229" s="313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6">
        <f t="shared" si="13"/>
        <v>312</v>
      </c>
      <c r="N229" s="315">
        <f>Q208-M229</f>
        <v>48</v>
      </c>
      <c r="O229" s="315"/>
      <c r="P229" s="315"/>
      <c r="Q229" s="314"/>
    </row>
    <row r="230" spans="1:17" hidden="1" x14ac:dyDescent="0.25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6">
        <f t="shared" si="13"/>
        <v>324</v>
      </c>
      <c r="N230" s="315">
        <f>Q208-M230</f>
        <v>36</v>
      </c>
      <c r="O230" s="315"/>
      <c r="P230" s="315"/>
      <c r="Q230" s="314"/>
    </row>
    <row r="231" spans="1:17" hidden="1" x14ac:dyDescent="0.25">
      <c r="A231" s="313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6">
        <f t="shared" si="13"/>
        <v>336</v>
      </c>
      <c r="N231" s="315">
        <f>Q208-M231</f>
        <v>24</v>
      </c>
      <c r="O231" s="315"/>
      <c r="P231" s="315"/>
      <c r="Q231" s="314"/>
    </row>
    <row r="232" spans="1:17" hidden="1" x14ac:dyDescent="0.25">
      <c r="A232" s="313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6">
        <f t="shared" si="13"/>
        <v>348</v>
      </c>
      <c r="N232" s="315">
        <f>Q208-M232</f>
        <v>12</v>
      </c>
      <c r="O232" s="315"/>
      <c r="P232" s="315"/>
      <c r="Q232" s="314"/>
    </row>
    <row r="233" spans="1:17" hidden="1" x14ac:dyDescent="0.25">
      <c r="A233" s="313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3"/>
      <c r="M233" s="316">
        <f t="shared" si="13"/>
        <v>360</v>
      </c>
      <c r="N233" s="315">
        <f>Q208-M233</f>
        <v>0</v>
      </c>
      <c r="O233" s="315"/>
      <c r="P233" s="315"/>
      <c r="Q233" s="314"/>
    </row>
    <row r="234" spans="1:17" ht="13.8" hidden="1" thickBot="1" x14ac:dyDescent="0.3">
      <c r="A234" s="313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2">
        <f t="shared" si="13"/>
        <v>360</v>
      </c>
      <c r="N234" s="311">
        <f>Q208-M234</f>
        <v>0</v>
      </c>
      <c r="O234" s="311"/>
      <c r="P234" s="311"/>
      <c r="Q234" s="310"/>
    </row>
  </sheetData>
  <mergeCells count="14">
    <mergeCell ref="B10:J10"/>
    <mergeCell ref="B25:I25"/>
    <mergeCell ref="B6:D6"/>
    <mergeCell ref="G6:I6"/>
    <mergeCell ref="B7:D7"/>
    <mergeCell ref="G7:I7"/>
    <mergeCell ref="B8:D8"/>
    <mergeCell ref="G8:I8"/>
    <mergeCell ref="B3:E3"/>
    <mergeCell ref="G3:J3"/>
    <mergeCell ref="B4:D4"/>
    <mergeCell ref="G4:I4"/>
    <mergeCell ref="B5:D5"/>
    <mergeCell ref="G5:I5"/>
  </mergeCells>
  <printOptions horizontalCentered="1"/>
  <pageMargins left="0.65" right="0.65" top="0.65" bottom="0.65" header="0.5" footer="0.5"/>
  <pageSetup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Acqusition-NF</vt:lpstr>
      <vt:lpstr> Year 1 Projection - NF</vt:lpstr>
      <vt:lpstr>5 YEAR Pro-Forma</vt:lpstr>
      <vt:lpstr>Cash Flow &amp; Return</vt:lpstr>
      <vt:lpstr>Equity Return on Resale</vt:lpstr>
      <vt:lpstr>Mortgage Amortization</vt:lpstr>
      <vt:lpstr>'5 YEAR Pro-Forma'!Print_Area</vt:lpstr>
      <vt:lpstr>'Cash Flow &amp; Return'!Print_Area</vt:lpstr>
      <vt:lpstr>'Mortgage Amortization'!Print_Area</vt:lpstr>
      <vt:lpstr>'Mortgage Amortization'!TemplatePrintArea</vt:lpstr>
    </vt:vector>
  </TitlesOfParts>
  <Company>RE Mentor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Lindahl</dc:creator>
  <cp:lastModifiedBy>techb</cp:lastModifiedBy>
  <cp:lastPrinted>2019-05-13T05:23:00Z</cp:lastPrinted>
  <dcterms:created xsi:type="dcterms:W3CDTF">2007-05-21T19:06:31Z</dcterms:created>
  <dcterms:modified xsi:type="dcterms:W3CDTF">2020-01-30T00:45:38Z</dcterms:modified>
</cp:coreProperties>
</file>