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Sales Energizer\CCTX\Joe Fogarty\4M Cypress Rosehill\"/>
    </mc:Choice>
  </mc:AlternateContent>
  <xr:revisionPtr revIDLastSave="0" documentId="13_ncr:1_{159CC5A2-59C9-49AC-BA69-2F8DFD61A8E4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204 Lots" sheetId="5" r:id="rId1"/>
    <sheet name="Sheet1" sheetId="1" r:id="rId2"/>
    <sheet name="Sheet2" sheetId="2" r:id="rId3"/>
    <sheet name="Sheet3" sheetId="3" r:id="rId4"/>
  </sheets>
  <definedNames>
    <definedName name="_xlnm.Print_Area" localSheetId="0">'204 Lots'!$A$2:$Y$75</definedName>
    <definedName name="_xlnm.Print_Area" localSheetId="1">Sheet1!$A$1:$AE$73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9" i="5" l="1"/>
  <c r="K29" i="5"/>
  <c r="N73" i="5"/>
  <c r="O20" i="5" l="1"/>
  <c r="P20" i="5" s="1"/>
  <c r="Q20" i="5" s="1"/>
  <c r="R20" i="5" s="1"/>
  <c r="S20" i="5" s="1"/>
  <c r="T20" i="5" s="1"/>
  <c r="U20" i="5" s="1"/>
  <c r="J70" i="5"/>
  <c r="K70" i="5" l="1"/>
  <c r="L31" i="5"/>
  <c r="J31" i="5"/>
  <c r="I31" i="5"/>
  <c r="M70" i="5" l="1"/>
  <c r="P28" i="5"/>
  <c r="K28" i="5"/>
  <c r="K31" i="5" l="1"/>
  <c r="V28" i="5"/>
  <c r="G28" i="5"/>
  <c r="K8" i="5"/>
  <c r="I51" i="5" l="1"/>
  <c r="G50" i="5"/>
  <c r="I8" i="5"/>
  <c r="G37" i="5" l="1"/>
  <c r="G52" i="5"/>
  <c r="E43" i="5"/>
  <c r="G38" i="5"/>
  <c r="P42" i="5"/>
  <c r="O42" i="5"/>
  <c r="R100" i="5" l="1"/>
  <c r="N97" i="5"/>
  <c r="D22" i="5"/>
  <c r="L7" i="5"/>
  <c r="Q42" i="5" l="1"/>
  <c r="V22" i="5" l="1"/>
  <c r="M37" i="5" l="1"/>
  <c r="L8" i="5"/>
  <c r="M8" i="5" s="1"/>
  <c r="N8" i="5" s="1"/>
  <c r="O8" i="5" s="1"/>
  <c r="P8" i="5" s="1"/>
  <c r="Q8" i="5" s="1"/>
  <c r="R8" i="5" s="1"/>
  <c r="S8" i="5" s="1"/>
  <c r="T8" i="5" s="1"/>
  <c r="U8" i="5" s="1"/>
  <c r="V33" i="5"/>
  <c r="L58" i="5"/>
  <c r="M58" i="5" s="1"/>
  <c r="N58" i="5" s="1"/>
  <c r="O58" i="5" s="1"/>
  <c r="P58" i="5" s="1"/>
  <c r="Q58" i="5" s="1"/>
  <c r="R58" i="5" s="1"/>
  <c r="S58" i="5" s="1"/>
  <c r="T58" i="5" s="1"/>
  <c r="U58" i="5" s="1"/>
  <c r="V60" i="5"/>
  <c r="V61" i="5"/>
  <c r="V63" i="5"/>
  <c r="V64" i="5"/>
  <c r="V66" i="5"/>
  <c r="V71" i="5"/>
  <c r="V43" i="5"/>
  <c r="V44" i="5"/>
  <c r="V45" i="5"/>
  <c r="V47" i="5"/>
  <c r="V48" i="5"/>
  <c r="V52" i="5"/>
  <c r="V53" i="5"/>
  <c r="V54" i="5"/>
  <c r="V56" i="5"/>
  <c r="V57" i="5"/>
  <c r="V23" i="5"/>
  <c r="V32" i="5"/>
  <c r="V34" i="5"/>
  <c r="V35" i="5"/>
  <c r="V36" i="5"/>
  <c r="V42" i="5"/>
  <c r="R38" i="5"/>
  <c r="U39" i="5"/>
  <c r="G40" i="5"/>
  <c r="G41" i="5"/>
  <c r="P7" i="5"/>
  <c r="T7" i="5" s="1"/>
  <c r="K46" i="5"/>
  <c r="H46" i="5"/>
  <c r="G27" i="5"/>
  <c r="M27" i="5"/>
  <c r="M24" i="5"/>
  <c r="M31" i="5" s="1"/>
  <c r="O21" i="5"/>
  <c r="P21" i="5" s="1"/>
  <c r="Q21" i="5" s="1"/>
  <c r="R21" i="5" s="1"/>
  <c r="S21" i="5" s="1"/>
  <c r="T21" i="5" s="1"/>
  <c r="U21" i="5" s="1"/>
  <c r="H64" i="1"/>
  <c r="G48" i="1"/>
  <c r="AE24" i="1"/>
  <c r="AE18" i="1"/>
  <c r="G47" i="1"/>
  <c r="AE38" i="1"/>
  <c r="U46" i="1"/>
  <c r="V46" i="1"/>
  <c r="W46" i="1"/>
  <c r="X46" i="1"/>
  <c r="Y46" i="1"/>
  <c r="Z46" i="1"/>
  <c r="AA46" i="1"/>
  <c r="AB46" i="1"/>
  <c r="AC46" i="1"/>
  <c r="AD46" i="1"/>
  <c r="X42" i="1"/>
  <c r="Y42" i="1"/>
  <c r="Y45" i="1" s="1"/>
  <c r="Z42" i="1"/>
  <c r="Z45" i="1" s="1"/>
  <c r="AA42" i="1"/>
  <c r="AB42" i="1"/>
  <c r="AB45" i="1" s="1"/>
  <c r="AC42" i="1"/>
  <c r="AC45" i="1" s="1"/>
  <c r="AD42" i="1"/>
  <c r="AD45" i="1" s="1"/>
  <c r="AE33" i="1"/>
  <c r="AE34" i="1"/>
  <c r="AE35" i="1"/>
  <c r="AE36" i="1"/>
  <c r="AE37" i="1"/>
  <c r="AE39" i="1"/>
  <c r="AE40" i="1"/>
  <c r="AE41" i="1"/>
  <c r="AE43" i="1"/>
  <c r="AE44" i="1"/>
  <c r="AE47" i="1"/>
  <c r="AE48" i="1"/>
  <c r="AE49" i="1"/>
  <c r="AE50" i="1"/>
  <c r="AE52" i="1"/>
  <c r="AE53" i="1"/>
  <c r="AE54" i="1"/>
  <c r="AE56" i="1"/>
  <c r="AE57" i="1"/>
  <c r="AE32" i="1"/>
  <c r="W23" i="1"/>
  <c r="Y23" i="1"/>
  <c r="AC23" i="1"/>
  <c r="H49" i="5" l="1"/>
  <c r="AC51" i="1"/>
  <c r="AC55" i="1" s="1"/>
  <c r="L37" i="5"/>
  <c r="L46" i="5" s="1"/>
  <c r="V21" i="5"/>
  <c r="N27" i="5"/>
  <c r="N30" i="5" s="1"/>
  <c r="AD51" i="1"/>
  <c r="AD55" i="1" s="1"/>
  <c r="P46" i="5"/>
  <c r="G22" i="5"/>
  <c r="O24" i="5"/>
  <c r="G46" i="5"/>
  <c r="M46" i="5"/>
  <c r="U46" i="5"/>
  <c r="R46" i="5"/>
  <c r="N24" i="5"/>
  <c r="Q38" i="5"/>
  <c r="T46" i="5"/>
  <c r="S38" i="5"/>
  <c r="S46" i="5" s="1"/>
  <c r="N37" i="5"/>
  <c r="N46" i="5" s="1"/>
  <c r="AB51" i="1"/>
  <c r="AB55" i="1" s="1"/>
  <c r="Y51" i="1"/>
  <c r="Y55" i="1" s="1"/>
  <c r="AA45" i="1"/>
  <c r="AA51" i="1" s="1"/>
  <c r="AA55" i="1" s="1"/>
  <c r="Z51" i="1"/>
  <c r="Z55" i="1" s="1"/>
  <c r="X45" i="1"/>
  <c r="X51" i="1" s="1"/>
  <c r="X55" i="1" s="1"/>
  <c r="AE19" i="1"/>
  <c r="M17" i="1"/>
  <c r="N17" i="1" s="1"/>
  <c r="O17" i="1" s="1"/>
  <c r="P17" i="1" s="1"/>
  <c r="Q17" i="1" s="1"/>
  <c r="R17" i="1" s="1"/>
  <c r="S17" i="1" s="1"/>
  <c r="T17" i="1" s="1"/>
  <c r="U17" i="1" s="1"/>
  <c r="V17" i="1" s="1"/>
  <c r="W17" i="1" s="1"/>
  <c r="M16" i="1"/>
  <c r="N16" i="1" s="1"/>
  <c r="O16" i="1" s="1"/>
  <c r="P16" i="1" s="1"/>
  <c r="Q16" i="1" s="1"/>
  <c r="R16" i="1" s="1"/>
  <c r="S16" i="1" s="1"/>
  <c r="T16" i="1" s="1"/>
  <c r="U16" i="1" s="1"/>
  <c r="V16" i="1" s="1"/>
  <c r="W16" i="1" s="1"/>
  <c r="X16" i="1" s="1"/>
  <c r="I63" i="1"/>
  <c r="J63" i="1" s="1"/>
  <c r="K63" i="1" s="1"/>
  <c r="L63" i="1" s="1"/>
  <c r="M63" i="1" s="1"/>
  <c r="N63" i="1" s="1"/>
  <c r="O63" i="1" s="1"/>
  <c r="P63" i="1" s="1"/>
  <c r="Q63" i="1" s="1"/>
  <c r="R63" i="1" s="1"/>
  <c r="W42" i="1"/>
  <c r="V42" i="1"/>
  <c r="T46" i="1"/>
  <c r="S46" i="1"/>
  <c r="R46" i="1"/>
  <c r="Q46" i="1"/>
  <c r="H46" i="1"/>
  <c r="T42" i="1"/>
  <c r="S45" i="1" s="1"/>
  <c r="U42" i="1"/>
  <c r="T45" i="1" s="1"/>
  <c r="K23" i="1"/>
  <c r="AE23" i="1" s="1"/>
  <c r="L20" i="1"/>
  <c r="L21" i="1" s="1"/>
  <c r="Q42" i="1"/>
  <c r="P45" i="1" s="1"/>
  <c r="K73" i="1"/>
  <c r="G49" i="1"/>
  <c r="E39" i="1"/>
  <c r="G22" i="1" s="1"/>
  <c r="G23" i="1" s="1"/>
  <c r="K20" i="1"/>
  <c r="R42" i="1"/>
  <c r="Q45" i="1" s="1"/>
  <c r="H42" i="1"/>
  <c r="H45" i="1" s="1"/>
  <c r="I42" i="1"/>
  <c r="J42" i="1"/>
  <c r="I45" i="1" s="1"/>
  <c r="K42" i="1"/>
  <c r="J45" i="1" s="1"/>
  <c r="L42" i="1"/>
  <c r="K45" i="1" s="1"/>
  <c r="M42" i="1"/>
  <c r="N42" i="1"/>
  <c r="M45" i="1" s="1"/>
  <c r="O42" i="1"/>
  <c r="N45" i="1" s="1"/>
  <c r="P42" i="1"/>
  <c r="O45" i="1" s="1"/>
  <c r="S42" i="1"/>
  <c r="R45" i="1" s="1"/>
  <c r="K22" i="1"/>
  <c r="L22" i="1" s="1"/>
  <c r="L25" i="1" s="1"/>
  <c r="J4" i="1"/>
  <c r="K4" i="1" s="1"/>
  <c r="L4" i="1" s="1"/>
  <c r="M4" i="1" s="1"/>
  <c r="N4" i="1" s="1"/>
  <c r="O4" i="1" s="1"/>
  <c r="P4" i="1" s="1"/>
  <c r="Q4" i="1" s="1"/>
  <c r="R4" i="1" s="1"/>
  <c r="S4" i="1" s="1"/>
  <c r="T4" i="1" s="1"/>
  <c r="U4" i="1" s="1"/>
  <c r="V4" i="1" s="1"/>
  <c r="W4" i="1" s="1"/>
  <c r="X4" i="1" s="1"/>
  <c r="Y4" i="1" s="1"/>
  <c r="Z4" i="1" s="1"/>
  <c r="AA4" i="1" s="1"/>
  <c r="AB4" i="1" s="1"/>
  <c r="AC4" i="1" s="1"/>
  <c r="AD4" i="1" s="1"/>
  <c r="AE4" i="1" s="1"/>
  <c r="H55" i="5" l="1"/>
  <c r="H59" i="5" s="1"/>
  <c r="O31" i="5"/>
  <c r="O27" i="5"/>
  <c r="O30" i="5" s="1"/>
  <c r="N25" i="5"/>
  <c r="N31" i="5" s="1"/>
  <c r="Q46" i="5"/>
  <c r="H29" i="5"/>
  <c r="T29" i="5"/>
  <c r="G49" i="5"/>
  <c r="I49" i="5" s="1"/>
  <c r="I55" i="5" s="1"/>
  <c r="I67" i="5" s="1"/>
  <c r="V58" i="5"/>
  <c r="V38" i="5"/>
  <c r="V41" i="5"/>
  <c r="V40" i="5"/>
  <c r="V39" i="5"/>
  <c r="V37" i="5"/>
  <c r="O46" i="5"/>
  <c r="P24" i="5"/>
  <c r="K26" i="1"/>
  <c r="K67" i="1" s="1"/>
  <c r="Y16" i="1"/>
  <c r="X20" i="1"/>
  <c r="L45" i="1"/>
  <c r="AE42" i="1"/>
  <c r="H51" i="1"/>
  <c r="H55" i="1" s="1"/>
  <c r="H58" i="1" s="1"/>
  <c r="M22" i="1"/>
  <c r="M25" i="1" s="1"/>
  <c r="M20" i="1"/>
  <c r="M26" i="1" s="1"/>
  <c r="M67" i="1" s="1"/>
  <c r="Q51" i="1"/>
  <c r="Q55" i="1" s="1"/>
  <c r="S51" i="1"/>
  <c r="S55" i="1" s="1"/>
  <c r="T51" i="1"/>
  <c r="T55" i="1" s="1"/>
  <c r="O20" i="1"/>
  <c r="O21" i="1" s="1"/>
  <c r="N20" i="1"/>
  <c r="L26" i="1"/>
  <c r="L67" i="1" s="1"/>
  <c r="G42" i="1"/>
  <c r="R51" i="1"/>
  <c r="R55" i="1" s="1"/>
  <c r="U45" i="1"/>
  <c r="V45" i="1"/>
  <c r="V51" i="1" s="1"/>
  <c r="V55" i="1" s="1"/>
  <c r="W45" i="1"/>
  <c r="W51" i="1" s="1"/>
  <c r="W55" i="1" s="1"/>
  <c r="H31" i="5" l="1"/>
  <c r="H62" i="5" s="1"/>
  <c r="P27" i="5"/>
  <c r="P30" i="5" s="1"/>
  <c r="N26" i="5"/>
  <c r="N72" i="5" s="1"/>
  <c r="O26" i="5"/>
  <c r="O72" i="5" s="1"/>
  <c r="P26" i="5"/>
  <c r="J49" i="5"/>
  <c r="N22" i="1"/>
  <c r="N25" i="1" s="1"/>
  <c r="V46" i="5"/>
  <c r="Q24" i="5"/>
  <c r="G45" i="1"/>
  <c r="G24" i="1" s="1"/>
  <c r="P80" i="1" s="1"/>
  <c r="X21" i="1"/>
  <c r="X26" i="1" s="1"/>
  <c r="X58" i="1" s="1"/>
  <c r="X71" i="1" s="1"/>
  <c r="Z16" i="1"/>
  <c r="Y20" i="1"/>
  <c r="Y26" i="1" s="1"/>
  <c r="Y58" i="1" s="1"/>
  <c r="Y71" i="1" s="1"/>
  <c r="AE45" i="1"/>
  <c r="U51" i="1"/>
  <c r="I46" i="1"/>
  <c r="I51" i="1" s="1"/>
  <c r="I55" i="1" s="1"/>
  <c r="O26" i="1"/>
  <c r="O67" i="1" s="1"/>
  <c r="P20" i="1"/>
  <c r="P26" i="1" s="1"/>
  <c r="N26" i="1"/>
  <c r="N67" i="1" s="1"/>
  <c r="O22" i="1" l="1"/>
  <c r="N70" i="5"/>
  <c r="P31" i="5"/>
  <c r="Q27" i="5"/>
  <c r="Q30" i="5" s="1"/>
  <c r="I59" i="5"/>
  <c r="I62" i="5" s="1"/>
  <c r="Q26" i="5"/>
  <c r="K49" i="5"/>
  <c r="G29" i="5"/>
  <c r="R24" i="5"/>
  <c r="I58" i="1"/>
  <c r="I66" i="1"/>
  <c r="I64" i="1" s="1"/>
  <c r="J46" i="1" s="1"/>
  <c r="J51" i="1" s="1"/>
  <c r="J55" i="1" s="1"/>
  <c r="P22" i="1"/>
  <c r="P25" i="1" s="1"/>
  <c r="O25" i="1"/>
  <c r="G67" i="1"/>
  <c r="AA16" i="1"/>
  <c r="Z20" i="1"/>
  <c r="Z26" i="1" s="1"/>
  <c r="Z58" i="1" s="1"/>
  <c r="Z71" i="1" s="1"/>
  <c r="U55" i="1"/>
  <c r="Q20" i="1"/>
  <c r="Q26" i="1" s="1"/>
  <c r="R27" i="5" l="1"/>
  <c r="R30" i="5" s="1"/>
  <c r="Q31" i="5"/>
  <c r="R25" i="5"/>
  <c r="R31" i="5" s="1"/>
  <c r="L49" i="5"/>
  <c r="Q22" i="1"/>
  <c r="Q25" i="1" s="1"/>
  <c r="S24" i="5"/>
  <c r="AB16" i="1"/>
  <c r="AA20" i="1"/>
  <c r="O71" i="1"/>
  <c r="Q58" i="1"/>
  <c r="Q71" i="1" s="1"/>
  <c r="R20" i="1"/>
  <c r="J58" i="1"/>
  <c r="J66" i="1"/>
  <c r="J64" i="1" s="1"/>
  <c r="R22" i="1" l="1"/>
  <c r="R25" i="1" s="1"/>
  <c r="S27" i="5"/>
  <c r="S30" i="5" s="1"/>
  <c r="J55" i="5"/>
  <c r="J67" i="5" s="1"/>
  <c r="S26" i="5"/>
  <c r="M49" i="5"/>
  <c r="R26" i="5"/>
  <c r="V29" i="5"/>
  <c r="T24" i="5"/>
  <c r="AA21" i="1"/>
  <c r="AA26" i="1"/>
  <c r="AA58" i="1" s="1"/>
  <c r="AA71" i="1" s="1"/>
  <c r="AC16" i="1"/>
  <c r="AB20" i="1"/>
  <c r="AB26" i="1" s="1"/>
  <c r="AB58" i="1" s="1"/>
  <c r="AB71" i="1" s="1"/>
  <c r="R21" i="1"/>
  <c r="R26" i="1" s="1"/>
  <c r="S20" i="1"/>
  <c r="S22" i="1"/>
  <c r="S25" i="1" s="1"/>
  <c r="K46" i="1"/>
  <c r="K51" i="1" s="1"/>
  <c r="K55" i="1" s="1"/>
  <c r="T27" i="5" l="1"/>
  <c r="T30" i="5" s="1"/>
  <c r="S31" i="5"/>
  <c r="K55" i="5"/>
  <c r="K67" i="5" s="1"/>
  <c r="J59" i="5"/>
  <c r="J62" i="5" s="1"/>
  <c r="T26" i="5"/>
  <c r="N49" i="5"/>
  <c r="U24" i="5"/>
  <c r="U27" i="5"/>
  <c r="U30" i="5" s="1"/>
  <c r="AD16" i="1"/>
  <c r="AD20" i="1" s="1"/>
  <c r="AC20" i="1"/>
  <c r="AC26" i="1" s="1"/>
  <c r="AC58" i="1" s="1"/>
  <c r="AC71" i="1" s="1"/>
  <c r="R58" i="1"/>
  <c r="R71" i="1" s="1"/>
  <c r="S26" i="1"/>
  <c r="T20" i="1"/>
  <c r="T22" i="1"/>
  <c r="T25" i="1" s="1"/>
  <c r="K66" i="1"/>
  <c r="K64" i="1" s="1"/>
  <c r="K58" i="1"/>
  <c r="T31" i="5" l="1"/>
  <c r="L55" i="5"/>
  <c r="L59" i="5" s="1"/>
  <c r="L62" i="5" s="1"/>
  <c r="K59" i="5"/>
  <c r="K62" i="5" s="1"/>
  <c r="O49" i="5"/>
  <c r="U26" i="5"/>
  <c r="AD26" i="1"/>
  <c r="AD58" i="1" s="1"/>
  <c r="AD71" i="1" s="1"/>
  <c r="S58" i="1"/>
  <c r="S71" i="1" s="1"/>
  <c r="T26" i="1"/>
  <c r="U20" i="1"/>
  <c r="U21" i="1" s="1"/>
  <c r="G21" i="1" s="1"/>
  <c r="U22" i="1"/>
  <c r="U25" i="1" s="1"/>
  <c r="L67" i="5" l="1"/>
  <c r="U31" i="5"/>
  <c r="T51" i="5"/>
  <c r="P49" i="5"/>
  <c r="T58" i="1"/>
  <c r="T71" i="1" s="1"/>
  <c r="W20" i="1"/>
  <c r="V20" i="1"/>
  <c r="V26" i="1" s="1"/>
  <c r="V58" i="1" s="1"/>
  <c r="V71" i="1" s="1"/>
  <c r="V22" i="1"/>
  <c r="V25" i="1" s="1"/>
  <c r="L46" i="1"/>
  <c r="V72" i="5" l="1"/>
  <c r="G72" i="5"/>
  <c r="M55" i="5"/>
  <c r="G26" i="5"/>
  <c r="Q49" i="5"/>
  <c r="G20" i="1"/>
  <c r="AE20" i="1"/>
  <c r="U26" i="1"/>
  <c r="W22" i="1"/>
  <c r="L51" i="1"/>
  <c r="M67" i="5" l="1"/>
  <c r="M59" i="5"/>
  <c r="M62" i="5" s="1"/>
  <c r="R49" i="5"/>
  <c r="W25" i="1"/>
  <c r="X22" i="1"/>
  <c r="G26" i="1"/>
  <c r="U58" i="1"/>
  <c r="AE21" i="1"/>
  <c r="W26" i="1"/>
  <c r="AE26" i="1" s="1"/>
  <c r="L55" i="1"/>
  <c r="N55" i="5" l="1"/>
  <c r="N67" i="5" s="1"/>
  <c r="V49" i="5"/>
  <c r="X25" i="1"/>
  <c r="Y22" i="1"/>
  <c r="U71" i="1"/>
  <c r="W58" i="1"/>
  <c r="W71" i="1" s="1"/>
  <c r="L66" i="1"/>
  <c r="L58" i="1"/>
  <c r="N59" i="5" l="1"/>
  <c r="N62" i="5" s="1"/>
  <c r="Z22" i="1"/>
  <c r="Y25" i="1"/>
  <c r="L72" i="1"/>
  <c r="L64" i="1"/>
  <c r="O55" i="5" l="1"/>
  <c r="O67" i="5" s="1"/>
  <c r="AA22" i="1"/>
  <c r="Z25" i="1"/>
  <c r="M46" i="1"/>
  <c r="O59" i="5" l="1"/>
  <c r="O62" i="5" s="1"/>
  <c r="AB22" i="1"/>
  <c r="AA25" i="1"/>
  <c r="M51" i="1"/>
  <c r="AC22" i="1" l="1"/>
  <c r="AB25" i="1"/>
  <c r="M55" i="1"/>
  <c r="M66" i="1" s="1"/>
  <c r="M64" i="1" s="1"/>
  <c r="P55" i="5" l="1"/>
  <c r="P67" i="5" s="1"/>
  <c r="AD22" i="1"/>
  <c r="AD25" i="1" s="1"/>
  <c r="AC25" i="1"/>
  <c r="M58" i="1"/>
  <c r="P59" i="5" l="1"/>
  <c r="P62" i="5" s="1"/>
  <c r="M72" i="1"/>
  <c r="N46" i="1"/>
  <c r="G24" i="5" l="1"/>
  <c r="V24" i="5"/>
  <c r="N51" i="1"/>
  <c r="G25" i="5" l="1"/>
  <c r="G31" i="5" s="1"/>
  <c r="N55" i="1"/>
  <c r="N66" i="1" s="1"/>
  <c r="N64" i="1" s="1"/>
  <c r="Q55" i="5" l="1"/>
  <c r="Q67" i="5" s="1"/>
  <c r="V25" i="5"/>
  <c r="N58" i="1"/>
  <c r="Q59" i="5" l="1"/>
  <c r="Q62" i="5" s="1"/>
  <c r="V31" i="5"/>
  <c r="N72" i="1"/>
  <c r="O46" i="1" l="1"/>
  <c r="O51" i="1" l="1"/>
  <c r="R55" i="5" l="1"/>
  <c r="R67" i="5" s="1"/>
  <c r="O55" i="1"/>
  <c r="O66" i="1" s="1"/>
  <c r="O64" i="1" s="1"/>
  <c r="R59" i="5" l="1"/>
  <c r="R62" i="5" s="1"/>
  <c r="O58" i="1"/>
  <c r="O72" i="1" l="1"/>
  <c r="G66" i="1"/>
  <c r="P46" i="1"/>
  <c r="AE46" i="1" s="1"/>
  <c r="P51" i="1" l="1"/>
  <c r="AE51" i="1" s="1"/>
  <c r="G46" i="1"/>
  <c r="G51" i="1" s="1"/>
  <c r="S55" i="5" l="1"/>
  <c r="S67" i="5" s="1"/>
  <c r="G55" i="1"/>
  <c r="G58" i="1" s="1"/>
  <c r="P55" i="1"/>
  <c r="AE55" i="1" s="1"/>
  <c r="S59" i="5" l="1"/>
  <c r="S62" i="5" s="1"/>
  <c r="P58" i="1"/>
  <c r="P71" i="1" s="1"/>
  <c r="AE58" i="1" l="1"/>
  <c r="P72" i="1"/>
  <c r="Q72" i="1" s="1"/>
  <c r="R72" i="1" s="1"/>
  <c r="S72" i="1" s="1"/>
  <c r="T72" i="1" s="1"/>
  <c r="U72" i="1" s="1"/>
  <c r="V72" i="1" s="1"/>
  <c r="W72" i="1" s="1"/>
  <c r="X72" i="1" s="1"/>
  <c r="Y72" i="1" s="1"/>
  <c r="Z72" i="1" s="1"/>
  <c r="AA72" i="1" s="1"/>
  <c r="AB72" i="1" s="1"/>
  <c r="AC72" i="1" s="1"/>
  <c r="AD72" i="1" s="1"/>
  <c r="V50" i="5" l="1"/>
  <c r="T55" i="5" l="1"/>
  <c r="T67" i="5" s="1"/>
  <c r="T59" i="5" l="1"/>
  <c r="T62" i="5" s="1"/>
  <c r="U51" i="5" l="1"/>
  <c r="U55" i="5" s="1"/>
  <c r="U67" i="5" s="1"/>
  <c r="U59" i="5" l="1"/>
  <c r="V51" i="5" l="1"/>
  <c r="U62" i="5"/>
  <c r="G55" i="5" l="1"/>
  <c r="G59" i="5" s="1"/>
  <c r="G62" i="5" s="1"/>
  <c r="V55" i="5" l="1"/>
  <c r="V62" i="5"/>
  <c r="V59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Norman Reed</author>
  </authors>
  <commentList>
    <comment ref="AE55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Norman Reed:</t>
        </r>
        <r>
          <rPr>
            <sz val="9"/>
            <color indexed="81"/>
            <rFont val="Tahoma"/>
            <family val="2"/>
          </rPr>
          <t xml:space="preserve">
plus land cost</t>
        </r>
      </text>
    </comment>
  </commentList>
</comments>
</file>

<file path=xl/sharedStrings.xml><?xml version="1.0" encoding="utf-8"?>
<sst xmlns="http://schemas.openxmlformats.org/spreadsheetml/2006/main" count="144" uniqueCount="78">
  <si>
    <t>Proforma and Financial Projections</t>
  </si>
  <si>
    <t>Check</t>
  </si>
  <si>
    <t>SALES &amp; REVENUE</t>
  </si>
  <si>
    <t>50' Product - Lots</t>
  </si>
  <si>
    <t>HIDE</t>
  </si>
  <si>
    <t>50' Product - Revenue</t>
  </si>
  <si>
    <t>60' Product - Lots</t>
  </si>
  <si>
    <t>60' Product - Revenue</t>
  </si>
  <si>
    <t>70' Product - Lots</t>
  </si>
  <si>
    <t>70' Product - Revenue</t>
  </si>
  <si>
    <t>Total Sales</t>
  </si>
  <si>
    <t>Closing Costs</t>
  </si>
  <si>
    <t>Total Lots Sold</t>
  </si>
  <si>
    <t>Tax Base</t>
  </si>
  <si>
    <t>SALES &amp; REVENUE - CASH FLOW</t>
  </si>
  <si>
    <t>HARD, SOFT, &amp; LAND COSTS</t>
  </si>
  <si>
    <t>Hard Costs</t>
  </si>
  <si>
    <t>Total Development Hard Costs</t>
  </si>
  <si>
    <t>Soft Costs</t>
  </si>
  <si>
    <t>Loan Costs</t>
  </si>
  <si>
    <t>Ad Valorem Taxes</t>
  </si>
  <si>
    <t>Total Development Soft Costs</t>
  </si>
  <si>
    <t>Land Cost</t>
  </si>
  <si>
    <t>DEVELOPMENT &amp; LAND COST - CASH FLOW</t>
  </si>
  <si>
    <t>NET CASH FLOW BEFORE FINANCING ACTIVITIES</t>
  </si>
  <si>
    <t>&amp; CASH FLOW AVAILABLE FOR DIST.</t>
  </si>
  <si>
    <t>CASH FLOW FROM FINANCING ACTIVITIES:</t>
  </si>
  <si>
    <t>Partnership Equity</t>
  </si>
  <si>
    <t>Development Loan Activity:</t>
  </si>
  <si>
    <t>Proceeds From Bank Borrowings</t>
  </si>
  <si>
    <t>Payment on Loan Principal</t>
  </si>
  <si>
    <t>Cash Flow Available for Distribution</t>
  </si>
  <si>
    <t xml:space="preserve">Engineering </t>
  </si>
  <si>
    <t>Lots</t>
  </si>
  <si>
    <t>Aqua Reimbursements (W&amp;S)</t>
  </si>
  <si>
    <t>Acquisition and Development Loan Balance</t>
  </si>
  <si>
    <t>Rollback Taxes</t>
  </si>
  <si>
    <t>Recreation Center</t>
  </si>
  <si>
    <t>Land sale to  improvement district  (streets, drainage and parks</t>
  </si>
  <si>
    <t xml:space="preserve">$/Lot </t>
  </si>
  <si>
    <t xml:space="preserve">Interest Expense 7% bank </t>
  </si>
  <si>
    <t>Builder deposit</t>
  </si>
  <si>
    <t xml:space="preserve">#Lots </t>
  </si>
  <si>
    <t>60 x 120</t>
  </si>
  <si>
    <t>TOTAL CASH FLOW after  EQUITY PAYMENT</t>
  </si>
  <si>
    <t>DECKER PRAIRIE - ROSEHILL</t>
  </si>
  <si>
    <t>81 X 130'</t>
  </si>
  <si>
    <t xml:space="preserve">Section 1 </t>
  </si>
  <si>
    <t xml:space="preserve">section 2 </t>
  </si>
  <si>
    <t xml:space="preserve">section 3 </t>
  </si>
  <si>
    <t>section 4</t>
  </si>
  <si>
    <t>section 5</t>
  </si>
  <si>
    <t>section 6</t>
  </si>
  <si>
    <t>As of march 5, 2015</t>
  </si>
  <si>
    <t>60 X 130'</t>
  </si>
  <si>
    <t>Detention Land</t>
  </si>
  <si>
    <t>Offsite</t>
  </si>
  <si>
    <t xml:space="preserve">Section 2 </t>
  </si>
  <si>
    <t>ARETE REAL ESTATE &amp; DEVELOPMENT CO.</t>
  </si>
  <si>
    <t>No.</t>
  </si>
  <si>
    <t>DESCRIPTION</t>
  </si>
  <si>
    <t>AMOUNT</t>
  </si>
  <si>
    <t>TIME LINE</t>
  </si>
  <si>
    <t>/lot</t>
  </si>
  <si>
    <t>Management fee</t>
  </si>
  <si>
    <t>District Bond Revenue</t>
  </si>
  <si>
    <r>
      <rPr>
        <b/>
        <u/>
        <sz val="10"/>
        <color theme="1"/>
        <rFont val="Arial"/>
        <family val="2"/>
      </rPr>
      <t>PROJECT</t>
    </r>
    <r>
      <rPr>
        <b/>
        <sz val="10"/>
        <color theme="1"/>
        <rFont val="Arial"/>
        <family val="2"/>
      </rPr>
      <t xml:space="preserve"> :</t>
    </r>
  </si>
  <si>
    <t>Cash account</t>
  </si>
  <si>
    <t xml:space="preserve">50 Acres Cypress rosehill </t>
  </si>
  <si>
    <t>Net sales</t>
  </si>
  <si>
    <t>Water and sewer</t>
  </si>
  <si>
    <t>40' x 110'</t>
  </si>
  <si>
    <t>Closing cost</t>
  </si>
  <si>
    <t>Investor return:</t>
  </si>
  <si>
    <t>Shortfall</t>
  </si>
  <si>
    <t>Cash investment</t>
  </si>
  <si>
    <t>Distribution</t>
  </si>
  <si>
    <t>As of September 10,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</si>
</sst>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0.0%"/>
  </numFmts>
  <fonts count="26" x14ac:knownFonts="1">
    <font>
      <sz val="10"/>
      <name val="Arial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i/>
      <sz val="10"/>
      <color indexed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8"/>
      <name val="Arial"/>
      <family val="2"/>
    </font>
    <font>
      <i/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B937A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8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9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3" fillId="0" borderId="0" xfId="0" applyFont="1" applyFill="1"/>
    <xf numFmtId="42" fontId="1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1" fontId="0" fillId="2" borderId="0" xfId="0" applyNumberFormat="1" applyFill="1" applyAlignment="1">
      <alignment horizontal="center"/>
    </xf>
    <xf numFmtId="0" fontId="5" fillId="0" borderId="0" xfId="0" applyFont="1" applyFill="1"/>
    <xf numFmtId="0" fontId="0" fillId="0" borderId="0" xfId="0" applyFill="1" applyBorder="1"/>
    <xf numFmtId="42" fontId="0" fillId="0" borderId="0" xfId="0" applyNumberFormat="1" applyAlignment="1">
      <alignment horizontal="right"/>
    </xf>
    <xf numFmtId="0" fontId="0" fillId="0" borderId="2" xfId="0" applyBorder="1"/>
    <xf numFmtId="0" fontId="0" fillId="0" borderId="3" xfId="0" applyBorder="1"/>
    <xf numFmtId="0" fontId="3" fillId="0" borderId="3" xfId="0" applyFont="1" applyBorder="1"/>
    <xf numFmtId="0" fontId="0" fillId="0" borderId="4" xfId="0" applyBorder="1"/>
    <xf numFmtId="42" fontId="0" fillId="0" borderId="5" xfId="0" applyNumberFormat="1" applyBorder="1" applyAlignment="1">
      <alignment horizontal="center"/>
    </xf>
    <xf numFmtId="41" fontId="0" fillId="0" borderId="0" xfId="0" applyNumberFormat="1" applyAlignment="1">
      <alignment horizontal="center"/>
    </xf>
    <xf numFmtId="0" fontId="5" fillId="2" borderId="6" xfId="0" applyFont="1" applyFill="1" applyBorder="1"/>
    <xf numFmtId="0" fontId="5" fillId="2" borderId="7" xfId="0" applyFont="1" applyFill="1" applyBorder="1"/>
    <xf numFmtId="0" fontId="5" fillId="0" borderId="7" xfId="0" applyFont="1" applyFill="1" applyBorder="1"/>
    <xf numFmtId="0" fontId="5" fillId="0" borderId="8" xfId="0" applyFont="1" applyFill="1" applyBorder="1"/>
    <xf numFmtId="42" fontId="0" fillId="0" borderId="9" xfId="0" applyNumberFormat="1" applyFill="1" applyBorder="1" applyAlignment="1">
      <alignment horizontal="center"/>
    </xf>
    <xf numFmtId="41" fontId="0" fillId="0" borderId="10" xfId="0" applyNumberFormat="1" applyFill="1" applyBorder="1" applyAlignment="1">
      <alignment horizontal="center"/>
    </xf>
    <xf numFmtId="41" fontId="0" fillId="0" borderId="11" xfId="0" applyNumberFormat="1" applyFill="1" applyBorder="1" applyAlignment="1">
      <alignment horizontal="center"/>
    </xf>
    <xf numFmtId="0" fontId="5" fillId="0" borderId="6" xfId="0" applyFont="1" applyFill="1" applyBorder="1"/>
    <xf numFmtId="42" fontId="0" fillId="0" borderId="9" xfId="0" applyNumberForma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6" xfId="0" applyBorder="1"/>
    <xf numFmtId="0" fontId="0" fillId="0" borderId="7" xfId="0" applyBorder="1"/>
    <xf numFmtId="0" fontId="7" fillId="0" borderId="7" xfId="0" applyFont="1" applyBorder="1"/>
    <xf numFmtId="0" fontId="0" fillId="0" borderId="8" xfId="0" applyBorder="1"/>
    <xf numFmtId="37" fontId="0" fillId="0" borderId="9" xfId="0" applyNumberFormat="1" applyFill="1" applyBorder="1" applyAlignment="1">
      <alignment horizontal="center"/>
    </xf>
    <xf numFmtId="41" fontId="8" fillId="0" borderId="0" xfId="0" applyNumberFormat="1" applyFont="1" applyAlignment="1">
      <alignment horizontal="center"/>
    </xf>
    <xf numFmtId="41" fontId="9" fillId="0" borderId="0" xfId="0" applyNumberFormat="1" applyFont="1"/>
    <xf numFmtId="0" fontId="5" fillId="0" borderId="6" xfId="0" applyFont="1" applyBorder="1"/>
    <xf numFmtId="164" fontId="0" fillId="0" borderId="9" xfId="1" applyNumberFormat="1" applyFont="1" applyFill="1" applyBorder="1" applyAlignment="1">
      <alignment horizontal="center"/>
    </xf>
    <xf numFmtId="0" fontId="3" fillId="0" borderId="7" xfId="0" applyFont="1" applyBorder="1"/>
    <xf numFmtId="165" fontId="5" fillId="0" borderId="7" xfId="0" applyNumberFormat="1" applyFont="1" applyFill="1" applyBorder="1"/>
    <xf numFmtId="0" fontId="5" fillId="0" borderId="7" xfId="0" quotePrefix="1" applyFont="1" applyFill="1" applyBorder="1"/>
    <xf numFmtId="42" fontId="5" fillId="0" borderId="9" xfId="0" applyNumberFormat="1" applyFont="1" applyFill="1" applyBorder="1" applyAlignment="1">
      <alignment horizontal="center"/>
    </xf>
    <xf numFmtId="0" fontId="5" fillId="0" borderId="0" xfId="0" applyFont="1"/>
    <xf numFmtId="0" fontId="0" fillId="2" borderId="7" xfId="0" applyFill="1" applyBorder="1"/>
    <xf numFmtId="17" fontId="3" fillId="2" borderId="7" xfId="0" applyNumberFormat="1" applyFont="1" applyFill="1" applyBorder="1" applyProtection="1">
      <protection locked="0"/>
    </xf>
    <xf numFmtId="0" fontId="0" fillId="0" borderId="7" xfId="0" applyFill="1" applyBorder="1"/>
    <xf numFmtId="0" fontId="0" fillId="0" borderId="8" xfId="0" applyFill="1" applyBorder="1"/>
    <xf numFmtId="3" fontId="3" fillId="0" borderId="7" xfId="0" applyNumberFormat="1" applyFont="1" applyBorder="1"/>
    <xf numFmtId="0" fontId="11" fillId="0" borderId="6" xfId="0" applyFont="1" applyBorder="1"/>
    <xf numFmtId="0" fontId="12" fillId="0" borderId="7" xfId="0" applyFont="1" applyBorder="1"/>
    <xf numFmtId="0" fontId="12" fillId="0" borderId="8" xfId="0" applyFont="1" applyBorder="1"/>
    <xf numFmtId="42" fontId="12" fillId="0" borderId="9" xfId="0" applyNumberFormat="1" applyFont="1" applyBorder="1" applyAlignment="1">
      <alignment horizontal="center"/>
    </xf>
    <xf numFmtId="0" fontId="12" fillId="0" borderId="0" xfId="0" applyFont="1"/>
    <xf numFmtId="42" fontId="12" fillId="0" borderId="7" xfId="0" applyNumberFormat="1" applyFont="1" applyBorder="1"/>
    <xf numFmtId="165" fontId="12" fillId="0" borderId="7" xfId="0" applyNumberFormat="1" applyFont="1" applyBorder="1"/>
    <xf numFmtId="0" fontId="12" fillId="0" borderId="7" xfId="0" quotePrefix="1" applyFont="1" applyBorder="1"/>
    <xf numFmtId="42" fontId="5" fillId="0" borderId="9" xfId="0" applyNumberFormat="1" applyFont="1" applyBorder="1" applyAlignment="1">
      <alignment horizontal="center"/>
    </xf>
    <xf numFmtId="0" fontId="5" fillId="0" borderId="6" xfId="0" applyFont="1" applyBorder="1" applyAlignment="1"/>
    <xf numFmtId="0" fontId="5" fillId="0" borderId="7" xfId="0" applyFont="1" applyBorder="1" applyAlignment="1"/>
    <xf numFmtId="0" fontId="5" fillId="0" borderId="7" xfId="0" applyFont="1" applyFill="1" applyBorder="1" applyAlignment="1"/>
    <xf numFmtId="0" fontId="5" fillId="0" borderId="8" xfId="0" applyFont="1" applyBorder="1" applyAlignment="1"/>
    <xf numFmtId="41" fontId="5" fillId="0" borderId="10" xfId="0" applyNumberFormat="1" applyFont="1" applyFill="1" applyBorder="1" applyAlignment="1">
      <alignment horizontal="center"/>
    </xf>
    <xf numFmtId="41" fontId="5" fillId="0" borderId="11" xfId="0" applyNumberFormat="1" applyFont="1" applyFill="1" applyBorder="1" applyAlignment="1">
      <alignment horizontal="center"/>
    </xf>
    <xf numFmtId="0" fontId="5" fillId="0" borderId="12" xfId="0" applyFont="1" applyBorder="1" applyAlignment="1"/>
    <xf numFmtId="0" fontId="11" fillId="0" borderId="7" xfId="0" applyFont="1" applyFill="1" applyBorder="1"/>
    <xf numFmtId="0" fontId="11" fillId="0" borderId="8" xfId="0" applyFont="1" applyFill="1" applyBorder="1"/>
    <xf numFmtId="0" fontId="12" fillId="0" borderId="13" xfId="0" applyFont="1" applyBorder="1"/>
    <xf numFmtId="0" fontId="3" fillId="0" borderId="0" xfId="0" applyFont="1"/>
    <xf numFmtId="17" fontId="3" fillId="0" borderId="7" xfId="0" applyNumberFormat="1" applyFont="1" applyFill="1" applyBorder="1" applyProtection="1">
      <protection locked="0"/>
    </xf>
    <xf numFmtId="0" fontId="5" fillId="0" borderId="7" xfId="0" applyFont="1" applyBorder="1"/>
    <xf numFmtId="0" fontId="5" fillId="0" borderId="8" xfId="0" applyFont="1" applyBorder="1"/>
    <xf numFmtId="0" fontId="3" fillId="0" borderId="6" xfId="0" applyFont="1" applyBorder="1"/>
    <xf numFmtId="0" fontId="0" fillId="0" borderId="15" xfId="0" applyBorder="1"/>
    <xf numFmtId="0" fontId="0" fillId="0" borderId="16" xfId="0" applyBorder="1"/>
    <xf numFmtId="0" fontId="3" fillId="0" borderId="16" xfId="0" applyFont="1" applyBorder="1"/>
    <xf numFmtId="0" fontId="0" fillId="0" borderId="17" xfId="0" applyBorder="1"/>
    <xf numFmtId="41" fontId="0" fillId="0" borderId="18" xfId="0" applyNumberFormat="1" applyFill="1" applyBorder="1" applyAlignment="1">
      <alignment horizontal="center"/>
    </xf>
    <xf numFmtId="41" fontId="0" fillId="0" borderId="19" xfId="0" applyNumberFormat="1" applyFill="1" applyBorder="1" applyAlignment="1">
      <alignment horizontal="center"/>
    </xf>
    <xf numFmtId="0" fontId="0" fillId="0" borderId="14" xfId="0" applyBorder="1"/>
    <xf numFmtId="0" fontId="0" fillId="0" borderId="20" xfId="0" applyBorder="1"/>
    <xf numFmtId="42" fontId="0" fillId="0" borderId="0" xfId="0" applyNumberForma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Border="1"/>
    <xf numFmtId="0" fontId="9" fillId="0" borderId="0" xfId="0" applyFont="1"/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0" fontId="12" fillId="0" borderId="0" xfId="0" applyFont="1" applyBorder="1"/>
    <xf numFmtId="0" fontId="0" fillId="3" borderId="7" xfId="0" applyFill="1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3" borderId="7" xfId="0" applyFont="1" applyFill="1" applyBorder="1"/>
    <xf numFmtId="0" fontId="0" fillId="3" borderId="8" xfId="0" applyFill="1" applyBorder="1"/>
    <xf numFmtId="41" fontId="0" fillId="3" borderId="10" xfId="0" applyNumberFormat="1" applyFill="1" applyBorder="1" applyAlignment="1">
      <alignment horizontal="center"/>
    </xf>
    <xf numFmtId="0" fontId="0" fillId="3" borderId="0" xfId="0" applyFill="1"/>
    <xf numFmtId="0" fontId="5" fillId="3" borderId="6" xfId="0" applyFont="1" applyFill="1" applyBorder="1"/>
    <xf numFmtId="164" fontId="3" fillId="0" borderId="9" xfId="1" applyNumberFormat="1" applyFont="1" applyFill="1" applyBorder="1" applyAlignment="1">
      <alignment horizontal="center"/>
    </xf>
    <xf numFmtId="164" fontId="16" fillId="0" borderId="9" xfId="1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11" fillId="0" borderId="0" xfId="0" applyFont="1" applyFill="1"/>
    <xf numFmtId="0" fontId="12" fillId="0" borderId="12" xfId="0" applyFont="1" applyFill="1" applyBorder="1"/>
    <xf numFmtId="0" fontId="5" fillId="3" borderId="7" xfId="0" applyFont="1" applyFill="1" applyBorder="1"/>
    <xf numFmtId="42" fontId="5" fillId="3" borderId="9" xfId="0" applyNumberFormat="1" applyFont="1" applyFill="1" applyBorder="1" applyAlignment="1">
      <alignment horizontal="center"/>
    </xf>
    <xf numFmtId="0" fontId="3" fillId="0" borderId="7" xfId="0" applyFont="1" applyFill="1" applyBorder="1"/>
    <xf numFmtId="0" fontId="0" fillId="0" borderId="6" xfId="0" applyFill="1" applyBorder="1"/>
    <xf numFmtId="0" fontId="0" fillId="0" borderId="7" xfId="0" quotePrefix="1" applyFill="1" applyBorder="1"/>
    <xf numFmtId="165" fontId="3" fillId="0" borderId="7" xfId="0" applyNumberFormat="1" applyFont="1" applyFill="1" applyBorder="1"/>
    <xf numFmtId="166" fontId="13" fillId="0" borderId="7" xfId="0" applyNumberFormat="1" applyFont="1" applyFill="1" applyBorder="1"/>
    <xf numFmtId="42" fontId="19" fillId="0" borderId="9" xfId="0" applyNumberFormat="1" applyFont="1" applyFill="1" applyBorder="1" applyAlignment="1">
      <alignment horizontal="center"/>
    </xf>
    <xf numFmtId="0" fontId="0" fillId="0" borderId="16" xfId="0" applyFill="1" applyBorder="1"/>
    <xf numFmtId="0" fontId="0" fillId="0" borderId="17" xfId="0" applyFill="1" applyBorder="1"/>
    <xf numFmtId="42" fontId="5" fillId="0" borderId="22" xfId="0" applyNumberFormat="1" applyFont="1" applyFill="1" applyBorder="1" applyAlignment="1">
      <alignment horizontal="center"/>
    </xf>
    <xf numFmtId="42" fontId="0" fillId="0" borderId="0" xfId="0" applyNumberFormat="1" applyFill="1" applyAlignment="1">
      <alignment horizontal="center"/>
    </xf>
    <xf numFmtId="0" fontId="5" fillId="3" borderId="8" xfId="0" applyFont="1" applyFill="1" applyBorder="1"/>
    <xf numFmtId="0" fontId="5" fillId="3" borderId="0" xfId="0" applyFont="1" applyFill="1"/>
    <xf numFmtId="164" fontId="5" fillId="3" borderId="9" xfId="1" applyNumberFormat="1" applyFont="1" applyFill="1" applyBorder="1" applyAlignment="1">
      <alignment horizontal="center"/>
    </xf>
    <xf numFmtId="166" fontId="1" fillId="0" borderId="0" xfId="1" applyNumberFormat="1" applyFont="1" applyBorder="1"/>
    <xf numFmtId="41" fontId="3" fillId="0" borderId="9" xfId="1" applyNumberFormat="1" applyFont="1" applyFill="1" applyBorder="1" applyAlignment="1">
      <alignment horizontal="center"/>
    </xf>
    <xf numFmtId="0" fontId="10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>
      <alignment horizontal="left"/>
    </xf>
    <xf numFmtId="42" fontId="5" fillId="4" borderId="9" xfId="0" applyNumberFormat="1" applyFont="1" applyFill="1" applyBorder="1" applyAlignment="1">
      <alignment horizontal="center"/>
    </xf>
    <xf numFmtId="41" fontId="11" fillId="0" borderId="6" xfId="0" applyNumberFormat="1" applyFont="1" applyFill="1" applyBorder="1"/>
    <xf numFmtId="49" fontId="12" fillId="0" borderId="7" xfId="0" applyNumberFormat="1" applyFont="1" applyFill="1" applyBorder="1"/>
    <xf numFmtId="0" fontId="12" fillId="0" borderId="7" xfId="0" applyFont="1" applyFill="1" applyBorder="1"/>
    <xf numFmtId="41" fontId="12" fillId="0" borderId="8" xfId="0" applyNumberFormat="1" applyFont="1" applyFill="1" applyBorder="1"/>
    <xf numFmtId="41" fontId="12" fillId="0" borderId="0" xfId="0" applyNumberFormat="1" applyFont="1" applyFill="1"/>
    <xf numFmtId="0" fontId="11" fillId="0" borderId="6" xfId="0" applyFont="1" applyFill="1" applyBorder="1"/>
    <xf numFmtId="0" fontId="12" fillId="0" borderId="8" xfId="0" applyFont="1" applyFill="1" applyBorder="1"/>
    <xf numFmtId="0" fontId="12" fillId="0" borderId="0" xfId="0" applyFont="1" applyFill="1"/>
    <xf numFmtId="0" fontId="12" fillId="0" borderId="21" xfId="0" applyFont="1" applyFill="1" applyBorder="1"/>
    <xf numFmtId="0" fontId="5" fillId="0" borderId="0" xfId="0" applyFont="1" applyBorder="1"/>
    <xf numFmtId="41" fontId="12" fillId="0" borderId="7" xfId="0" applyNumberFormat="1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37" fontId="0" fillId="0" borderId="9" xfId="0" applyNumberFormat="1" applyFill="1" applyBorder="1" applyAlignment="1">
      <alignment horizontal="right"/>
    </xf>
    <xf numFmtId="0" fontId="1" fillId="0" borderId="7" xfId="0" applyFont="1" applyBorder="1"/>
    <xf numFmtId="41" fontId="0" fillId="3" borderId="11" xfId="0" applyNumberFormat="1" applyFill="1" applyBorder="1" applyAlignment="1">
      <alignment horizontal="center"/>
    </xf>
    <xf numFmtId="0" fontId="0" fillId="6" borderId="7" xfId="0" applyFill="1" applyBorder="1"/>
    <xf numFmtId="0" fontId="3" fillId="6" borderId="7" xfId="0" applyFont="1" applyFill="1" applyBorder="1"/>
    <xf numFmtId="0" fontId="5" fillId="6" borderId="6" xfId="0" applyFont="1" applyFill="1" applyBorder="1"/>
    <xf numFmtId="0" fontId="5" fillId="6" borderId="7" xfId="0" applyFont="1" applyFill="1" applyBorder="1"/>
    <xf numFmtId="0" fontId="0" fillId="6" borderId="6" xfId="0" applyFill="1" applyBorder="1"/>
    <xf numFmtId="0" fontId="5" fillId="6" borderId="15" xfId="0" applyFont="1" applyFill="1" applyBorder="1"/>
    <xf numFmtId="0" fontId="0" fillId="6" borderId="16" xfId="0" applyFill="1" applyBorder="1"/>
    <xf numFmtId="0" fontId="3" fillId="6" borderId="16" xfId="0" applyFont="1" applyFill="1" applyBorder="1"/>
    <xf numFmtId="0" fontId="1" fillId="3" borderId="0" xfId="0" applyFont="1" applyFill="1"/>
    <xf numFmtId="0" fontId="2" fillId="0" borderId="0" xfId="0" applyFont="1" applyFill="1" applyBorder="1" applyAlignment="1" applyProtection="1">
      <alignment horizontal="center"/>
      <protection locked="0"/>
    </xf>
    <xf numFmtId="41" fontId="10" fillId="0" borderId="0" xfId="0" applyNumberFormat="1" applyFon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2" fillId="0" borderId="28" xfId="0" applyFont="1" applyBorder="1"/>
    <xf numFmtId="41" fontId="5" fillId="0" borderId="30" xfId="0" applyNumberFormat="1" applyFont="1" applyFill="1" applyBorder="1" applyAlignment="1">
      <alignment horizontal="center"/>
    </xf>
    <xf numFmtId="41" fontId="0" fillId="3" borderId="30" xfId="0" applyNumberFormat="1" applyFill="1" applyBorder="1" applyAlignment="1">
      <alignment horizontal="center"/>
    </xf>
    <xf numFmtId="41" fontId="0" fillId="0" borderId="30" xfId="0" applyNumberFormat="1" applyFill="1" applyBorder="1" applyAlignment="1">
      <alignment horizontal="center"/>
    </xf>
    <xf numFmtId="41" fontId="0" fillId="0" borderId="31" xfId="0" applyNumberFormat="1" applyFill="1" applyBorder="1" applyAlignment="1">
      <alignment horizontal="center"/>
    </xf>
    <xf numFmtId="42" fontId="5" fillId="0" borderId="33" xfId="0" applyNumberFormat="1" applyFont="1" applyFill="1" applyBorder="1" applyAlignment="1">
      <alignment horizontal="center"/>
    </xf>
    <xf numFmtId="42" fontId="5" fillId="0" borderId="10" xfId="0" applyNumberFormat="1" applyFont="1" applyFill="1" applyBorder="1" applyAlignment="1">
      <alignment horizontal="center"/>
    </xf>
    <xf numFmtId="42" fontId="5" fillId="0" borderId="11" xfId="0" applyNumberFormat="1" applyFont="1" applyFill="1" applyBorder="1" applyAlignment="1">
      <alignment horizontal="center"/>
    </xf>
    <xf numFmtId="41" fontId="0" fillId="0" borderId="33" xfId="0" applyNumberFormat="1" applyFill="1" applyBorder="1" applyAlignment="1">
      <alignment horizontal="center"/>
    </xf>
    <xf numFmtId="37" fontId="0" fillId="0" borderId="33" xfId="0" applyNumberFormat="1" applyFill="1" applyBorder="1" applyAlignment="1">
      <alignment horizontal="center"/>
    </xf>
    <xf numFmtId="37" fontId="0" fillId="0" borderId="10" xfId="0" applyNumberFormat="1" applyFill="1" applyBorder="1" applyAlignment="1">
      <alignment horizontal="center"/>
    </xf>
    <xf numFmtId="164" fontId="16" fillId="3" borderId="33" xfId="1" applyNumberFormat="1" applyFont="1" applyFill="1" applyBorder="1" applyAlignment="1">
      <alignment horizontal="center"/>
    </xf>
    <xf numFmtId="164" fontId="16" fillId="3" borderId="10" xfId="1" applyNumberFormat="1" applyFont="1" applyFill="1" applyBorder="1" applyAlignment="1">
      <alignment horizontal="center"/>
    </xf>
    <xf numFmtId="164" fontId="16" fillId="4" borderId="10" xfId="1" applyNumberFormat="1" applyFont="1" applyFill="1" applyBorder="1" applyAlignment="1">
      <alignment horizontal="center"/>
    </xf>
    <xf numFmtId="164" fontId="16" fillId="5" borderId="10" xfId="1" applyNumberFormat="1" applyFont="1" applyFill="1" applyBorder="1" applyAlignment="1">
      <alignment horizontal="center"/>
    </xf>
    <xf numFmtId="164" fontId="16" fillId="7" borderId="10" xfId="1" applyNumberFormat="1" applyFont="1" applyFill="1" applyBorder="1" applyAlignment="1">
      <alignment horizontal="center"/>
    </xf>
    <xf numFmtId="164" fontId="16" fillId="8" borderId="10" xfId="1" applyNumberFormat="1" applyFont="1" applyFill="1" applyBorder="1" applyAlignment="1">
      <alignment horizontal="center"/>
    </xf>
    <xf numFmtId="164" fontId="16" fillId="9" borderId="10" xfId="1" applyNumberFormat="1" applyFont="1" applyFill="1" applyBorder="1" applyAlignment="1">
      <alignment horizontal="center"/>
    </xf>
    <xf numFmtId="164" fontId="16" fillId="0" borderId="10" xfId="1" applyNumberFormat="1" applyFont="1" applyFill="1" applyBorder="1" applyAlignment="1">
      <alignment horizontal="center"/>
    </xf>
    <xf numFmtId="164" fontId="16" fillId="0" borderId="33" xfId="1" applyNumberFormat="1" applyFont="1" applyFill="1" applyBorder="1" applyAlignment="1">
      <alignment horizontal="center"/>
    </xf>
    <xf numFmtId="41" fontId="12" fillId="0" borderId="33" xfId="0" applyNumberFormat="1" applyFont="1" applyFill="1" applyBorder="1" applyAlignment="1">
      <alignment horizontal="center"/>
    </xf>
    <xf numFmtId="41" fontId="12" fillId="0" borderId="10" xfId="0" applyNumberFormat="1" applyFont="1" applyFill="1" applyBorder="1" applyAlignment="1">
      <alignment horizontal="center"/>
    </xf>
    <xf numFmtId="42" fontId="3" fillId="0" borderId="33" xfId="0" applyNumberFormat="1" applyFont="1" applyBorder="1" applyAlignment="1">
      <alignment horizontal="center"/>
    </xf>
    <xf numFmtId="42" fontId="3" fillId="0" borderId="10" xfId="0" applyNumberFormat="1" applyFont="1" applyBorder="1" applyAlignment="1">
      <alignment horizontal="center"/>
    </xf>
    <xf numFmtId="41" fontId="3" fillId="3" borderId="33" xfId="0" applyNumberFormat="1" applyFont="1" applyFill="1" applyBorder="1" applyAlignment="1">
      <alignment horizontal="center"/>
    </xf>
    <xf numFmtId="41" fontId="3" fillId="0" borderId="10" xfId="0" applyNumberFormat="1" applyFont="1" applyFill="1" applyBorder="1" applyAlignment="1">
      <alignment horizontal="center"/>
    </xf>
    <xf numFmtId="0" fontId="12" fillId="0" borderId="33" xfId="0" applyFont="1" applyFill="1" applyBorder="1"/>
    <xf numFmtId="41" fontId="3" fillId="4" borderId="10" xfId="0" applyNumberFormat="1" applyFont="1" applyFill="1" applyBorder="1" applyAlignment="1">
      <alignment horizontal="center"/>
    </xf>
    <xf numFmtId="0" fontId="12" fillId="0" borderId="10" xfId="0" applyFont="1" applyFill="1" applyBorder="1"/>
    <xf numFmtId="41" fontId="3" fillId="5" borderId="10" xfId="0" applyNumberFormat="1" applyFont="1" applyFill="1" applyBorder="1" applyAlignment="1">
      <alignment horizontal="center"/>
    </xf>
    <xf numFmtId="41" fontId="3" fillId="7" borderId="10" xfId="0" applyNumberFormat="1" applyFont="1" applyFill="1" applyBorder="1" applyAlignment="1">
      <alignment horizontal="center"/>
    </xf>
    <xf numFmtId="41" fontId="3" fillId="0" borderId="33" xfId="0" applyNumberFormat="1" applyFont="1" applyFill="1" applyBorder="1" applyAlignment="1">
      <alignment horizontal="center"/>
    </xf>
    <xf numFmtId="41" fontId="3" fillId="8" borderId="10" xfId="0" applyNumberFormat="1" applyFont="1" applyFill="1" applyBorder="1" applyAlignment="1">
      <alignment horizontal="center"/>
    </xf>
    <xf numFmtId="41" fontId="3" fillId="9" borderId="10" xfId="0" applyNumberFormat="1" applyFont="1" applyFill="1" applyBorder="1" applyAlignment="1">
      <alignment horizontal="center"/>
    </xf>
    <xf numFmtId="41" fontId="3" fillId="0" borderId="33" xfId="0" applyNumberFormat="1" applyFont="1" applyBorder="1" applyAlignment="1">
      <alignment horizontal="center"/>
    </xf>
    <xf numFmtId="41" fontId="3" fillId="0" borderId="10" xfId="0" applyNumberFormat="1" applyFont="1" applyBorder="1" applyAlignment="1">
      <alignment horizontal="center"/>
    </xf>
    <xf numFmtId="0" fontId="12" fillId="0" borderId="10" xfId="0" applyFont="1" applyBorder="1"/>
    <xf numFmtId="42" fontId="5" fillId="0" borderId="33" xfId="0" applyNumberFormat="1" applyFont="1" applyBorder="1" applyAlignment="1">
      <alignment horizontal="center"/>
    </xf>
    <xf numFmtId="42" fontId="5" fillId="0" borderId="10" xfId="0" applyNumberFormat="1" applyFont="1" applyBorder="1" applyAlignment="1">
      <alignment horizontal="center"/>
    </xf>
    <xf numFmtId="41" fontId="5" fillId="0" borderId="33" xfId="0" applyNumberFormat="1" applyFont="1" applyFill="1" applyBorder="1" applyAlignment="1">
      <alignment horizontal="center"/>
    </xf>
    <xf numFmtId="41" fontId="11" fillId="0" borderId="33" xfId="0" applyNumberFormat="1" applyFont="1" applyFill="1" applyBorder="1" applyAlignment="1">
      <alignment horizontal="center"/>
    </xf>
    <xf numFmtId="41" fontId="11" fillId="0" borderId="10" xfId="0" applyNumberFormat="1" applyFont="1" applyFill="1" applyBorder="1" applyAlignment="1">
      <alignment horizontal="center"/>
    </xf>
    <xf numFmtId="41" fontId="5" fillId="3" borderId="33" xfId="0" applyNumberFormat="1" applyFont="1" applyFill="1" applyBorder="1" applyAlignment="1">
      <alignment horizontal="center"/>
    </xf>
    <xf numFmtId="41" fontId="5" fillId="3" borderId="10" xfId="0" applyNumberFormat="1" applyFont="1" applyFill="1" applyBorder="1" applyAlignment="1">
      <alignment horizontal="center"/>
    </xf>
    <xf numFmtId="41" fontId="0" fillId="3" borderId="33" xfId="0" applyNumberFormat="1" applyFill="1" applyBorder="1" applyAlignment="1">
      <alignment horizontal="center"/>
    </xf>
    <xf numFmtId="41" fontId="0" fillId="0" borderId="34" xfId="0" applyNumberFormat="1" applyFill="1" applyBorder="1" applyAlignment="1">
      <alignment horizontal="center"/>
    </xf>
    <xf numFmtId="17" fontId="5" fillId="0" borderId="35" xfId="0" applyNumberFormat="1" applyFont="1" applyFill="1" applyBorder="1" applyAlignment="1">
      <alignment horizontal="center"/>
    </xf>
    <xf numFmtId="17" fontId="5" fillId="0" borderId="29" xfId="0" applyNumberFormat="1" applyFont="1" applyFill="1" applyBorder="1" applyAlignment="1">
      <alignment horizontal="center"/>
    </xf>
    <xf numFmtId="41" fontId="0" fillId="0" borderId="36" xfId="0" applyNumberFormat="1" applyFill="1" applyBorder="1" applyAlignment="1">
      <alignment horizontal="center"/>
    </xf>
    <xf numFmtId="41" fontId="0" fillId="0" borderId="37" xfId="0" applyNumberFormat="1" applyFill="1" applyBorder="1" applyAlignment="1">
      <alignment horizontal="center"/>
    </xf>
    <xf numFmtId="17" fontId="5" fillId="0" borderId="32" xfId="0" applyNumberFormat="1" applyFont="1" applyFill="1" applyBorder="1" applyAlignment="1">
      <alignment horizontal="center"/>
    </xf>
    <xf numFmtId="17" fontId="5" fillId="0" borderId="1" xfId="0" applyNumberFormat="1" applyFont="1" applyFill="1" applyBorder="1" applyAlignment="1">
      <alignment horizontal="center"/>
    </xf>
    <xf numFmtId="41" fontId="0" fillId="0" borderId="39" xfId="0" applyNumberFormat="1" applyFill="1" applyBorder="1" applyAlignment="1">
      <alignment horizontal="center"/>
    </xf>
    <xf numFmtId="41" fontId="0" fillId="0" borderId="40" xfId="0" applyNumberFormat="1" applyFill="1" applyBorder="1" applyAlignment="1">
      <alignment horizontal="center"/>
    </xf>
    <xf numFmtId="37" fontId="0" fillId="0" borderId="40" xfId="0" applyNumberFormat="1" applyFill="1" applyBorder="1" applyAlignment="1">
      <alignment horizontal="center"/>
    </xf>
    <xf numFmtId="164" fontId="0" fillId="0" borderId="33" xfId="1" applyNumberFormat="1" applyFont="1" applyFill="1" applyBorder="1" applyAlignment="1">
      <alignment horizontal="center"/>
    </xf>
    <xf numFmtId="164" fontId="0" fillId="0" borderId="10" xfId="1" applyNumberFormat="1" applyFont="1" applyFill="1" applyBorder="1" applyAlignment="1">
      <alignment horizontal="center"/>
    </xf>
    <xf numFmtId="164" fontId="0" fillId="0" borderId="40" xfId="1" applyNumberFormat="1" applyFont="1" applyFill="1" applyBorder="1" applyAlignment="1">
      <alignment horizontal="center"/>
    </xf>
    <xf numFmtId="41" fontId="12" fillId="0" borderId="40" xfId="0" applyNumberFormat="1" applyFont="1" applyFill="1" applyBorder="1" applyAlignment="1">
      <alignment horizontal="center"/>
    </xf>
    <xf numFmtId="42" fontId="3" fillId="0" borderId="40" xfId="0" applyNumberFormat="1" applyFont="1" applyBorder="1" applyAlignment="1">
      <alignment horizontal="center"/>
    </xf>
    <xf numFmtId="41" fontId="3" fillId="3" borderId="10" xfId="0" applyNumberFormat="1" applyFont="1" applyFill="1" applyBorder="1" applyAlignment="1">
      <alignment horizontal="center"/>
    </xf>
    <xf numFmtId="41" fontId="3" fillId="3" borderId="40" xfId="0" applyNumberFormat="1" applyFont="1" applyFill="1" applyBorder="1" applyAlignment="1">
      <alignment horizontal="center"/>
    </xf>
    <xf numFmtId="41" fontId="3" fillId="0" borderId="40" xfId="0" applyNumberFormat="1" applyFont="1" applyFill="1" applyBorder="1" applyAlignment="1">
      <alignment horizontal="center"/>
    </xf>
    <xf numFmtId="0" fontId="12" fillId="0" borderId="40" xfId="0" applyFont="1" applyFill="1" applyBorder="1"/>
    <xf numFmtId="41" fontId="3" fillId="0" borderId="40" xfId="0" applyNumberFormat="1" applyFont="1" applyBorder="1" applyAlignment="1">
      <alignment horizontal="center"/>
    </xf>
    <xf numFmtId="42" fontId="5" fillId="0" borderId="40" xfId="0" applyNumberFormat="1" applyFont="1" applyBorder="1" applyAlignment="1">
      <alignment horizontal="center"/>
    </xf>
    <xf numFmtId="41" fontId="5" fillId="0" borderId="40" xfId="0" applyNumberFormat="1" applyFont="1" applyFill="1" applyBorder="1" applyAlignment="1">
      <alignment horizontal="center"/>
    </xf>
    <xf numFmtId="41" fontId="11" fillId="0" borderId="40" xfId="0" applyNumberFormat="1" applyFont="1" applyFill="1" applyBorder="1" applyAlignment="1">
      <alignment horizontal="center"/>
    </xf>
    <xf numFmtId="41" fontId="5" fillId="3" borderId="40" xfId="0" applyNumberFormat="1" applyFont="1" applyFill="1" applyBorder="1" applyAlignment="1">
      <alignment horizontal="center"/>
    </xf>
    <xf numFmtId="41" fontId="0" fillId="0" borderId="6" xfId="0" applyNumberFormat="1" applyFill="1" applyBorder="1" applyAlignment="1">
      <alignment horizontal="center"/>
    </xf>
    <xf numFmtId="41" fontId="5" fillId="0" borderId="6" xfId="0" applyNumberFormat="1" applyFont="1" applyFill="1" applyBorder="1" applyAlignment="1">
      <alignment horizontal="center"/>
    </xf>
    <xf numFmtId="42" fontId="5" fillId="0" borderId="40" xfId="0" applyNumberFormat="1" applyFont="1" applyFill="1" applyBorder="1" applyAlignment="1">
      <alignment horizontal="center"/>
    </xf>
    <xf numFmtId="41" fontId="20" fillId="0" borderId="6" xfId="0" applyNumberFormat="1" applyFont="1" applyFill="1" applyBorder="1" applyAlignment="1">
      <alignment horizontal="center"/>
    </xf>
    <xf numFmtId="41" fontId="0" fillId="3" borderId="40" xfId="0" applyNumberFormat="1" applyFill="1" applyBorder="1" applyAlignment="1">
      <alignment horizontal="center"/>
    </xf>
    <xf numFmtId="41" fontId="0" fillId="0" borderId="15" xfId="0" applyNumberFormat="1" applyFill="1" applyBorder="1" applyAlignment="1">
      <alignment horizontal="center"/>
    </xf>
    <xf numFmtId="41" fontId="0" fillId="0" borderId="41" xfId="0" applyNumberFormat="1" applyFill="1" applyBorder="1" applyAlignment="1">
      <alignment horizontal="center"/>
    </xf>
    <xf numFmtId="41" fontId="0" fillId="0" borderId="38" xfId="0" applyNumberFormat="1" applyFill="1" applyBorder="1" applyAlignment="1">
      <alignment horizontal="center"/>
    </xf>
    <xf numFmtId="37" fontId="0" fillId="0" borderId="30" xfId="0" applyNumberFormat="1" applyFill="1" applyBorder="1" applyAlignment="1">
      <alignment horizontal="center"/>
    </xf>
    <xf numFmtId="164" fontId="16" fillId="0" borderId="30" xfId="1" applyNumberFormat="1" applyFont="1" applyFill="1" applyBorder="1" applyAlignment="1">
      <alignment horizontal="center"/>
    </xf>
    <xf numFmtId="41" fontId="12" fillId="0" borderId="30" xfId="0" applyNumberFormat="1" applyFont="1" applyFill="1" applyBorder="1" applyAlignment="1">
      <alignment horizontal="center"/>
    </xf>
    <xf numFmtId="42" fontId="3" fillId="0" borderId="30" xfId="0" applyNumberFormat="1" applyFont="1" applyBorder="1" applyAlignment="1">
      <alignment horizontal="center"/>
    </xf>
    <xf numFmtId="41" fontId="3" fillId="0" borderId="30" xfId="0" applyNumberFormat="1" applyFont="1" applyFill="1" applyBorder="1" applyAlignment="1">
      <alignment horizontal="center"/>
    </xf>
    <xf numFmtId="0" fontId="12" fillId="0" borderId="30" xfId="0" applyFont="1" applyFill="1" applyBorder="1"/>
    <xf numFmtId="0" fontId="12" fillId="0" borderId="30" xfId="0" applyFont="1" applyBorder="1"/>
    <xf numFmtId="42" fontId="5" fillId="0" borderId="30" xfId="0" applyNumberFormat="1" applyFont="1" applyBorder="1" applyAlignment="1">
      <alignment horizontal="center"/>
    </xf>
    <xf numFmtId="41" fontId="11" fillId="0" borderId="30" xfId="0" applyNumberFormat="1" applyFont="1" applyFill="1" applyBorder="1" applyAlignment="1">
      <alignment horizontal="center"/>
    </xf>
    <xf numFmtId="41" fontId="5" fillId="3" borderId="30" xfId="0" applyNumberFormat="1" applyFont="1" applyFill="1" applyBorder="1" applyAlignment="1">
      <alignment horizontal="center"/>
    </xf>
    <xf numFmtId="42" fontId="5" fillId="0" borderId="30" xfId="0" applyNumberFormat="1" applyFont="1" applyFill="1" applyBorder="1" applyAlignment="1">
      <alignment horizontal="center"/>
    </xf>
    <xf numFmtId="164" fontId="16" fillId="4" borderId="40" xfId="1" applyNumberFormat="1" applyFont="1" applyFill="1" applyBorder="1" applyAlignment="1">
      <alignment horizontal="center"/>
    </xf>
    <xf numFmtId="164" fontId="16" fillId="0" borderId="40" xfId="1" applyNumberFormat="1" applyFont="1" applyFill="1" applyBorder="1" applyAlignment="1">
      <alignment horizontal="center"/>
    </xf>
    <xf numFmtId="0" fontId="0" fillId="0" borderId="40" xfId="0" applyFill="1" applyBorder="1"/>
    <xf numFmtId="41" fontId="3" fillId="4" borderId="40" xfId="0" applyNumberFormat="1" applyFont="1" applyFill="1" applyBorder="1" applyAlignment="1">
      <alignment horizontal="center"/>
    </xf>
    <xf numFmtId="0" fontId="12" fillId="0" borderId="40" xfId="0" applyFont="1" applyBorder="1"/>
    <xf numFmtId="0" fontId="0" fillId="0" borderId="40" xfId="0" applyFill="1" applyBorder="1" applyAlignment="1">
      <alignment horizontal="center"/>
    </xf>
    <xf numFmtId="164" fontId="16" fillId="5" borderId="30" xfId="1" applyNumberFormat="1" applyFont="1" applyFill="1" applyBorder="1" applyAlignment="1">
      <alignment horizontal="center"/>
    </xf>
    <xf numFmtId="164" fontId="16" fillId="4" borderId="33" xfId="1" applyNumberFormat="1" applyFont="1" applyFill="1" applyBorder="1" applyAlignment="1">
      <alignment horizontal="center"/>
    </xf>
    <xf numFmtId="164" fontId="16" fillId="5" borderId="40" xfId="1" applyNumberFormat="1" applyFont="1" applyFill="1" applyBorder="1" applyAlignment="1">
      <alignment horizontal="center"/>
    </xf>
    <xf numFmtId="41" fontId="3" fillId="5" borderId="33" xfId="0" applyNumberFormat="1" applyFont="1" applyFill="1" applyBorder="1" applyAlignment="1">
      <alignment horizontal="center"/>
    </xf>
    <xf numFmtId="41" fontId="3" fillId="7" borderId="40" xfId="0" applyNumberFormat="1" applyFont="1" applyFill="1" applyBorder="1" applyAlignment="1">
      <alignment horizontal="center"/>
    </xf>
    <xf numFmtId="0" fontId="12" fillId="0" borderId="33" xfId="0" applyFont="1" applyBorder="1"/>
    <xf numFmtId="164" fontId="16" fillId="8" borderId="30" xfId="1" applyNumberFormat="1" applyFont="1" applyFill="1" applyBorder="1" applyAlignment="1">
      <alignment horizontal="center"/>
    </xf>
    <xf numFmtId="41" fontId="3" fillId="8" borderId="30" xfId="0" applyNumberFormat="1" applyFont="1" applyFill="1" applyBorder="1" applyAlignment="1">
      <alignment horizontal="center"/>
    </xf>
    <xf numFmtId="17" fontId="5" fillId="0" borderId="42" xfId="0" applyNumberFormat="1" applyFont="1" applyFill="1" applyBorder="1" applyAlignment="1">
      <alignment horizontal="center"/>
    </xf>
    <xf numFmtId="164" fontId="16" fillId="7" borderId="40" xfId="1" applyNumberFormat="1" applyFont="1" applyFill="1" applyBorder="1" applyAlignment="1">
      <alignment horizontal="center"/>
    </xf>
    <xf numFmtId="41" fontId="3" fillId="8" borderId="40" xfId="0" applyNumberFormat="1" applyFont="1" applyFill="1" applyBorder="1" applyAlignment="1">
      <alignment horizontal="center"/>
    </xf>
    <xf numFmtId="41" fontId="3" fillId="7" borderId="33" xfId="0" applyNumberFormat="1" applyFont="1" applyFill="1" applyBorder="1" applyAlignment="1">
      <alignment horizontal="center"/>
    </xf>
    <xf numFmtId="17" fontId="5" fillId="0" borderId="43" xfId="0" applyNumberFormat="1" applyFont="1" applyFill="1" applyBorder="1" applyAlignment="1">
      <alignment horizontal="center"/>
    </xf>
    <xf numFmtId="41" fontId="0" fillId="0" borderId="44" xfId="0" applyNumberFormat="1" applyFill="1" applyBorder="1" applyAlignment="1">
      <alignment horizontal="center"/>
    </xf>
    <xf numFmtId="37" fontId="0" fillId="0" borderId="11" xfId="0" applyNumberFormat="1" applyFill="1" applyBorder="1" applyAlignment="1">
      <alignment horizontal="center"/>
    </xf>
    <xf numFmtId="164" fontId="16" fillId="9" borderId="11" xfId="1" applyNumberFormat="1" applyFont="1" applyFill="1" applyBorder="1" applyAlignment="1">
      <alignment horizontal="center"/>
    </xf>
    <xf numFmtId="164" fontId="16" fillId="0" borderId="11" xfId="1" applyNumberFormat="1" applyFont="1" applyFill="1" applyBorder="1" applyAlignment="1">
      <alignment horizontal="center"/>
    </xf>
    <xf numFmtId="41" fontId="12" fillId="0" borderId="11" xfId="0" applyNumberFormat="1" applyFont="1" applyFill="1" applyBorder="1" applyAlignment="1">
      <alignment horizontal="center"/>
    </xf>
    <xf numFmtId="42" fontId="3" fillId="0" borderId="11" xfId="0" applyNumberFormat="1" applyFont="1" applyBorder="1" applyAlignment="1">
      <alignment horizontal="center"/>
    </xf>
    <xf numFmtId="41" fontId="3" fillId="0" borderId="11" xfId="0" applyNumberFormat="1" applyFont="1" applyFill="1" applyBorder="1" applyAlignment="1">
      <alignment horizontal="center"/>
    </xf>
    <xf numFmtId="0" fontId="12" fillId="0" borderId="11" xfId="0" applyFont="1" applyFill="1" applyBorder="1"/>
    <xf numFmtId="41" fontId="3" fillId="9" borderId="11" xfId="0" applyNumberFormat="1" applyFont="1" applyFill="1" applyBorder="1" applyAlignment="1">
      <alignment horizontal="center"/>
    </xf>
    <xf numFmtId="0" fontId="12" fillId="0" borderId="11" xfId="0" applyFont="1" applyBorder="1"/>
    <xf numFmtId="42" fontId="5" fillId="0" borderId="11" xfId="0" applyNumberFormat="1" applyFont="1" applyBorder="1" applyAlignment="1">
      <alignment horizontal="center"/>
    </xf>
    <xf numFmtId="41" fontId="11" fillId="0" borderId="11" xfId="0" applyNumberFormat="1" applyFont="1" applyFill="1" applyBorder="1" applyAlignment="1">
      <alignment horizontal="center"/>
    </xf>
    <xf numFmtId="41" fontId="5" fillId="3" borderId="11" xfId="0" applyNumberFormat="1" applyFont="1" applyFill="1" applyBorder="1" applyAlignment="1">
      <alignment horizontal="center"/>
    </xf>
    <xf numFmtId="17" fontId="5" fillId="0" borderId="45" xfId="0" applyNumberFormat="1" applyFont="1" applyFill="1" applyBorder="1" applyAlignment="1">
      <alignment horizontal="center"/>
    </xf>
    <xf numFmtId="41" fontId="0" fillId="0" borderId="4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8" xfId="0" applyFont="1" applyBorder="1" applyAlignment="1">
      <alignment horizontal="center"/>
    </xf>
    <xf numFmtId="41" fontId="9" fillId="0" borderId="8" xfId="0" applyNumberFormat="1" applyFont="1" applyBorder="1"/>
    <xf numFmtId="0" fontId="8" fillId="0" borderId="8" xfId="0" applyFont="1" applyBorder="1" applyAlignment="1">
      <alignment horizontal="center"/>
    </xf>
    <xf numFmtId="41" fontId="0" fillId="0" borderId="8" xfId="0" applyNumberFormat="1" applyBorder="1" applyAlignment="1">
      <alignment horizontal="center"/>
    </xf>
    <xf numFmtId="164" fontId="16" fillId="9" borderId="33" xfId="1" applyNumberFormat="1" applyFon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41" fontId="0" fillId="0" borderId="8" xfId="0" applyNumberForma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1" fontId="0" fillId="0" borderId="8" xfId="0" applyNumberFormat="1" applyFill="1" applyBorder="1" applyAlignment="1">
      <alignment horizontal="center"/>
    </xf>
    <xf numFmtId="41" fontId="0" fillId="0" borderId="17" xfId="0" applyNumberForma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43" fontId="0" fillId="0" borderId="0" xfId="1" applyFont="1" applyAlignment="1">
      <alignment horizontal="center"/>
    </xf>
    <xf numFmtId="43" fontId="0" fillId="0" borderId="0" xfId="0" applyNumberFormat="1" applyAlignment="1">
      <alignment horizontal="center"/>
    </xf>
    <xf numFmtId="0" fontId="21" fillId="0" borderId="0" xfId="0" applyFont="1" applyFill="1"/>
    <xf numFmtId="0" fontId="5" fillId="10" borderId="0" xfId="0" applyFont="1" applyFill="1" applyAlignment="1">
      <alignment horizontal="center"/>
    </xf>
    <xf numFmtId="0" fontId="5" fillId="10" borderId="0" xfId="0" applyFont="1" applyFill="1"/>
    <xf numFmtId="41" fontId="5" fillId="10" borderId="0" xfId="0" applyNumberFormat="1" applyFont="1" applyFill="1"/>
    <xf numFmtId="0" fontId="5" fillId="11" borderId="0" xfId="0" applyFont="1" applyFill="1"/>
    <xf numFmtId="0" fontId="0" fillId="0" borderId="12" xfId="0" applyBorder="1"/>
    <xf numFmtId="0" fontId="3" fillId="0" borderId="12" xfId="0" applyFont="1" applyBorder="1"/>
    <xf numFmtId="0" fontId="0" fillId="0" borderId="49" xfId="0" applyBorder="1"/>
    <xf numFmtId="42" fontId="0" fillId="0" borderId="50" xfId="0" applyNumberFormat="1" applyBorder="1" applyAlignment="1">
      <alignment horizontal="center"/>
    </xf>
    <xf numFmtId="41" fontId="0" fillId="0" borderId="48" xfId="0" applyNumberFormat="1" applyFill="1" applyBorder="1" applyAlignment="1">
      <alignment horizontal="center"/>
    </xf>
    <xf numFmtId="41" fontId="0" fillId="0" borderId="51" xfId="0" applyNumberFormat="1" applyFill="1" applyBorder="1" applyAlignment="1">
      <alignment horizontal="center"/>
    </xf>
    <xf numFmtId="41" fontId="0" fillId="0" borderId="52" xfId="0" applyNumberFormat="1" applyFill="1" applyBorder="1" applyAlignment="1">
      <alignment horizontal="center"/>
    </xf>
    <xf numFmtId="41" fontId="0" fillId="0" borderId="53" xfId="0" applyNumberFormat="1" applyFill="1" applyBorder="1" applyAlignment="1">
      <alignment horizontal="center"/>
    </xf>
    <xf numFmtId="41" fontId="0" fillId="0" borderId="54" xfId="0" applyNumberFormat="1" applyFill="1" applyBorder="1" applyAlignment="1">
      <alignment horizontal="center"/>
    </xf>
    <xf numFmtId="0" fontId="0" fillId="0" borderId="0" xfId="0" applyBorder="1"/>
    <xf numFmtId="41" fontId="5" fillId="10" borderId="0" xfId="0" applyNumberFormat="1" applyFont="1" applyFill="1" applyBorder="1"/>
    <xf numFmtId="164" fontId="0" fillId="0" borderId="22" xfId="1" applyNumberFormat="1" applyFont="1" applyFill="1" applyBorder="1" applyAlignment="1">
      <alignment horizontal="center"/>
    </xf>
    <xf numFmtId="0" fontId="0" fillId="11" borderId="0" xfId="0" applyFill="1"/>
    <xf numFmtId="164" fontId="0" fillId="0" borderId="11" xfId="1" applyNumberFormat="1" applyFont="1" applyFill="1" applyBorder="1" applyAlignment="1">
      <alignment horizontal="center"/>
    </xf>
    <xf numFmtId="41" fontId="3" fillId="0" borderId="11" xfId="0" applyNumberFormat="1" applyFont="1" applyBorder="1" applyAlignment="1">
      <alignment horizontal="center"/>
    </xf>
    <xf numFmtId="41" fontId="0" fillId="4" borderId="10" xfId="0" applyNumberFormat="1" applyFill="1" applyBorder="1" applyAlignment="1">
      <alignment horizontal="center"/>
    </xf>
    <xf numFmtId="41" fontId="0" fillId="13" borderId="10" xfId="0" applyNumberFormat="1" applyFill="1" applyBorder="1" applyAlignment="1">
      <alignment horizontal="center"/>
    </xf>
    <xf numFmtId="41" fontId="0" fillId="9" borderId="33" xfId="0" applyNumberFormat="1" applyFill="1" applyBorder="1" applyAlignment="1">
      <alignment horizontal="center"/>
    </xf>
    <xf numFmtId="41" fontId="0" fillId="9" borderId="10" xfId="0" applyNumberFormat="1" applyFill="1" applyBorder="1" applyAlignment="1">
      <alignment horizontal="center"/>
    </xf>
    <xf numFmtId="41" fontId="0" fillId="14" borderId="10" xfId="0" applyNumberFormat="1" applyFill="1" applyBorder="1" applyAlignment="1">
      <alignment horizontal="center"/>
    </xf>
    <xf numFmtId="41" fontId="0" fillId="14" borderId="33" xfId="0" applyNumberFormat="1" applyFill="1" applyBorder="1" applyAlignment="1">
      <alignment horizontal="center"/>
    </xf>
    <xf numFmtId="41" fontId="0" fillId="0" borderId="0" xfId="0" applyNumberFormat="1"/>
    <xf numFmtId="43" fontId="0" fillId="0" borderId="0" xfId="0" applyNumberFormat="1"/>
    <xf numFmtId="43" fontId="9" fillId="0" borderId="0" xfId="1" applyFont="1"/>
    <xf numFmtId="164" fontId="16" fillId="3" borderId="40" xfId="1" applyNumberFormat="1" applyFont="1" applyFill="1" applyBorder="1" applyAlignment="1">
      <alignment horizontal="center"/>
    </xf>
    <xf numFmtId="41" fontId="0" fillId="13" borderId="40" xfId="0" applyNumberFormat="1" applyFill="1" applyBorder="1" applyAlignment="1">
      <alignment horizontal="center"/>
    </xf>
    <xf numFmtId="41" fontId="3" fillId="4" borderId="33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41" fontId="0" fillId="13" borderId="33" xfId="0" applyNumberFormat="1" applyFill="1" applyBorder="1" applyAlignment="1">
      <alignment horizontal="center"/>
    </xf>
    <xf numFmtId="41" fontId="0" fillId="9" borderId="40" xfId="0" applyNumberForma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" fontId="0" fillId="0" borderId="0" xfId="0" applyNumberFormat="1" applyAlignment="1">
      <alignment horizontal="center"/>
    </xf>
    <xf numFmtId="9" fontId="22" fillId="0" borderId="7" xfId="0" applyNumberFormat="1" applyFont="1" applyFill="1" applyBorder="1"/>
    <xf numFmtId="164" fontId="12" fillId="0" borderId="10" xfId="0" applyNumberFormat="1" applyFont="1" applyFill="1" applyBorder="1"/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1" fillId="12" borderId="0" xfId="0" applyFont="1" applyFill="1" applyAlignment="1"/>
    <xf numFmtId="0" fontId="5" fillId="12" borderId="0" xfId="0" applyFont="1" applyFill="1"/>
    <xf numFmtId="0" fontId="3" fillId="0" borderId="0" xfId="0" applyFont="1" applyFill="1" applyBorder="1"/>
    <xf numFmtId="0" fontId="11" fillId="0" borderId="7" xfId="0" applyFont="1" applyBorder="1"/>
    <xf numFmtId="41" fontId="11" fillId="0" borderId="7" xfId="0" applyNumberFormat="1" applyFont="1" applyFill="1" applyBorder="1"/>
    <xf numFmtId="17" fontId="5" fillId="0" borderId="73" xfId="0" applyNumberFormat="1" applyFont="1" applyFill="1" applyBorder="1" applyAlignment="1">
      <alignment horizontal="center"/>
    </xf>
    <xf numFmtId="17" fontId="5" fillId="0" borderId="74" xfId="0" applyNumberFormat="1" applyFont="1" applyFill="1" applyBorder="1" applyAlignment="1">
      <alignment horizontal="center"/>
    </xf>
    <xf numFmtId="17" fontId="5" fillId="0" borderId="75" xfId="0" applyNumberFormat="1" applyFont="1" applyFill="1" applyBorder="1" applyAlignment="1">
      <alignment horizontal="center"/>
    </xf>
    <xf numFmtId="17" fontId="5" fillId="0" borderId="76" xfId="0" applyNumberFormat="1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59" xfId="0" applyFont="1" applyFill="1" applyBorder="1" applyAlignment="1" applyProtection="1">
      <alignment horizontal="center"/>
      <protection locked="0"/>
    </xf>
    <xf numFmtId="0" fontId="5" fillId="0" borderId="60" xfId="0" applyFont="1" applyFill="1" applyBorder="1" applyAlignment="1" applyProtection="1">
      <alignment horizontal="center"/>
      <protection locked="0"/>
    </xf>
    <xf numFmtId="0" fontId="11" fillId="0" borderId="60" xfId="0" applyFont="1" applyFill="1" applyBorder="1" applyAlignment="1" applyProtection="1">
      <alignment horizontal="center"/>
      <protection locked="0"/>
    </xf>
    <xf numFmtId="41" fontId="11" fillId="0" borderId="60" xfId="0" applyNumberFormat="1" applyFont="1" applyFill="1" applyBorder="1" applyAlignment="1" applyProtection="1">
      <alignment horizontal="center"/>
      <protection locked="0"/>
    </xf>
    <xf numFmtId="0" fontId="5" fillId="11" borderId="60" xfId="0" applyFont="1" applyFill="1" applyBorder="1" applyAlignment="1" applyProtection="1">
      <alignment horizontal="center"/>
      <protection locked="0"/>
    </xf>
    <xf numFmtId="0" fontId="5" fillId="0" borderId="63" xfId="0" applyFont="1" applyFill="1" applyBorder="1" applyAlignment="1" applyProtection="1">
      <alignment horizontal="center"/>
      <protection locked="0"/>
    </xf>
    <xf numFmtId="0" fontId="5" fillId="0" borderId="61" xfId="0" applyFont="1" applyFill="1" applyBorder="1" applyAlignment="1" applyProtection="1">
      <alignment horizontal="center"/>
      <protection locked="0"/>
    </xf>
    <xf numFmtId="0" fontId="5" fillId="0" borderId="78" xfId="0" applyFont="1" applyFill="1" applyBorder="1" applyAlignment="1" applyProtection="1">
      <alignment horizontal="center"/>
      <protection locked="0"/>
    </xf>
    <xf numFmtId="0" fontId="0" fillId="0" borderId="13" xfId="0" applyBorder="1"/>
    <xf numFmtId="0" fontId="3" fillId="0" borderId="13" xfId="0" applyFont="1" applyBorder="1"/>
    <xf numFmtId="0" fontId="0" fillId="0" borderId="79" xfId="0" applyBorder="1"/>
    <xf numFmtId="42" fontId="0" fillId="0" borderId="80" xfId="0" applyNumberFormat="1" applyBorder="1" applyAlignment="1">
      <alignment horizontal="center"/>
    </xf>
    <xf numFmtId="41" fontId="0" fillId="0" borderId="81" xfId="0" applyNumberFormat="1" applyFill="1" applyBorder="1" applyAlignment="1">
      <alignment horizontal="center"/>
    </xf>
    <xf numFmtId="41" fontId="0" fillId="0" borderId="82" xfId="0" applyNumberFormat="1" applyFill="1" applyBorder="1" applyAlignment="1">
      <alignment horizontal="center"/>
    </xf>
    <xf numFmtId="41" fontId="0" fillId="0" borderId="83" xfId="0" applyNumberFormat="1" applyFill="1" applyBorder="1" applyAlignment="1">
      <alignment horizontal="center"/>
    </xf>
    <xf numFmtId="41" fontId="0" fillId="0" borderId="84" xfId="0" applyNumberFormat="1" applyFill="1" applyBorder="1" applyAlignment="1">
      <alignment horizontal="center"/>
    </xf>
    <xf numFmtId="0" fontId="5" fillId="0" borderId="3" xfId="0" applyFont="1" applyBorder="1"/>
    <xf numFmtId="0" fontId="5" fillId="0" borderId="4" xfId="0" applyFont="1" applyBorder="1"/>
    <xf numFmtId="42" fontId="5" fillId="0" borderId="5" xfId="0" applyNumberFormat="1" applyFont="1" applyBorder="1" applyAlignment="1">
      <alignment horizontal="center"/>
    </xf>
    <xf numFmtId="41" fontId="5" fillId="0" borderId="36" xfId="0" applyNumberFormat="1" applyFont="1" applyFill="1" applyBorder="1" applyAlignment="1">
      <alignment horizontal="center"/>
    </xf>
    <xf numFmtId="41" fontId="5" fillId="0" borderId="44" xfId="0" applyNumberFormat="1" applyFont="1" applyFill="1" applyBorder="1" applyAlignment="1">
      <alignment horizontal="center"/>
    </xf>
    <xf numFmtId="41" fontId="5" fillId="0" borderId="37" xfId="0" applyNumberFormat="1" applyFont="1" applyFill="1" applyBorder="1" applyAlignment="1">
      <alignment horizontal="center"/>
    </xf>
    <xf numFmtId="41" fontId="5" fillId="0" borderId="39" xfId="0" applyNumberFormat="1" applyFont="1" applyFill="1" applyBorder="1" applyAlignment="1">
      <alignment horizontal="center"/>
    </xf>
    <xf numFmtId="0" fontId="1" fillId="6" borderId="7" xfId="0" applyFont="1" applyFill="1" applyBorder="1"/>
    <xf numFmtId="164" fontId="12" fillId="0" borderId="28" xfId="0" applyNumberFormat="1" applyFont="1" applyBorder="1"/>
    <xf numFmtId="164" fontId="12" fillId="0" borderId="33" xfId="0" applyNumberFormat="1" applyFont="1" applyFill="1" applyBorder="1"/>
    <xf numFmtId="43" fontId="12" fillId="0" borderId="33" xfId="0" applyNumberFormat="1" applyFont="1" applyFill="1" applyBorder="1"/>
    <xf numFmtId="164" fontId="22" fillId="0" borderId="7" xfId="1" applyNumberFormat="1" applyFont="1" applyBorder="1" applyAlignment="1"/>
    <xf numFmtId="0" fontId="22" fillId="0" borderId="7" xfId="0" applyFont="1" applyBorder="1" applyAlignment="1">
      <alignment horizontal="left"/>
    </xf>
    <xf numFmtId="41" fontId="0" fillId="0" borderId="3" xfId="0" applyNumberFormat="1" applyFill="1" applyBorder="1" applyAlignment="1">
      <alignment horizontal="center"/>
    </xf>
    <xf numFmtId="41" fontId="0" fillId="0" borderId="7" xfId="0" applyNumberFormat="1" applyFill="1" applyBorder="1" applyAlignment="1">
      <alignment horizontal="center"/>
    </xf>
    <xf numFmtId="37" fontId="0" fillId="0" borderId="7" xfId="0" applyNumberFormat="1" applyFill="1" applyBorder="1" applyAlignment="1">
      <alignment horizontal="center"/>
    </xf>
    <xf numFmtId="42" fontId="3" fillId="0" borderId="7" xfId="0" applyNumberFormat="1" applyFont="1" applyBorder="1" applyAlignment="1">
      <alignment horizontal="center"/>
    </xf>
    <xf numFmtId="41" fontId="3" fillId="0" borderId="7" xfId="0" applyNumberFormat="1" applyFont="1" applyFill="1" applyBorder="1" applyAlignment="1">
      <alignment horizontal="center"/>
    </xf>
    <xf numFmtId="42" fontId="5" fillId="0" borderId="7" xfId="0" applyNumberFormat="1" applyFont="1" applyBorder="1" applyAlignment="1">
      <alignment horizontal="center"/>
    </xf>
    <xf numFmtId="41" fontId="5" fillId="0" borderId="7" xfId="0" applyNumberFormat="1" applyFont="1" applyFill="1" applyBorder="1" applyAlignment="1">
      <alignment horizontal="center"/>
    </xf>
    <xf numFmtId="41" fontId="11" fillId="0" borderId="7" xfId="0" applyNumberFormat="1" applyFont="1" applyFill="1" applyBorder="1" applyAlignment="1">
      <alignment horizontal="center"/>
    </xf>
    <xf numFmtId="41" fontId="0" fillId="0" borderId="13" xfId="0" applyNumberFormat="1" applyFill="1" applyBorder="1" applyAlignment="1">
      <alignment horizontal="center"/>
    </xf>
    <xf numFmtId="41" fontId="5" fillId="0" borderId="3" xfId="0" applyNumberFormat="1" applyFont="1" applyFill="1" applyBorder="1" applyAlignment="1">
      <alignment horizontal="center"/>
    </xf>
    <xf numFmtId="41" fontId="0" fillId="0" borderId="16" xfId="0" applyNumberFormat="1" applyFill="1" applyBorder="1" applyAlignment="1">
      <alignment horizontal="center"/>
    </xf>
    <xf numFmtId="41" fontId="0" fillId="0" borderId="12" xfId="0" applyNumberFormat="1" applyFill="1" applyBorder="1" applyAlignment="1">
      <alignment horizontal="center"/>
    </xf>
    <xf numFmtId="41" fontId="0" fillId="3" borderId="7" xfId="0" applyNumberFormat="1" applyFill="1" applyBorder="1" applyAlignment="1">
      <alignment horizontal="center"/>
    </xf>
    <xf numFmtId="164" fontId="0" fillId="0" borderId="7" xfId="1" applyNumberFormat="1" applyFont="1" applyFill="1" applyBorder="1" applyAlignment="1">
      <alignment horizontal="center"/>
    </xf>
    <xf numFmtId="41" fontId="3" fillId="0" borderId="7" xfId="0" applyNumberFormat="1" applyFont="1" applyBorder="1" applyAlignment="1">
      <alignment horizontal="center"/>
    </xf>
    <xf numFmtId="0" fontId="5" fillId="0" borderId="87" xfId="0" applyFont="1" applyFill="1" applyBorder="1" applyAlignment="1" applyProtection="1">
      <alignment horizontal="center"/>
      <protection locked="0"/>
    </xf>
    <xf numFmtId="0" fontId="5" fillId="0" borderId="70" xfId="0" applyFont="1" applyFill="1" applyBorder="1" applyAlignment="1">
      <alignment horizontal="center"/>
    </xf>
    <xf numFmtId="0" fontId="5" fillId="0" borderId="71" xfId="0" applyFont="1" applyFill="1" applyBorder="1" applyAlignment="1">
      <alignment horizontal="center"/>
    </xf>
    <xf numFmtId="0" fontId="5" fillId="0" borderId="72" xfId="0" applyFont="1" applyFill="1" applyBorder="1" applyAlignment="1">
      <alignment horizontal="center"/>
    </xf>
    <xf numFmtId="0" fontId="5" fillId="0" borderId="88" xfId="0" applyFont="1" applyFill="1" applyBorder="1" applyAlignment="1">
      <alignment horizontal="center"/>
    </xf>
    <xf numFmtId="0" fontId="5" fillId="0" borderId="85" xfId="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5" fillId="0" borderId="77" xfId="0" applyFont="1" applyBorder="1" applyAlignment="1">
      <alignment horizontal="center"/>
    </xf>
    <xf numFmtId="0" fontId="5" fillId="0" borderId="58" xfId="0" applyFont="1" applyFill="1" applyBorder="1" applyAlignment="1" applyProtection="1">
      <alignment horizontal="center" vertical="center"/>
      <protection locked="0"/>
    </xf>
    <xf numFmtId="0" fontId="5" fillId="0" borderId="57" xfId="0" applyFont="1" applyFill="1" applyBorder="1" applyAlignment="1" applyProtection="1">
      <alignment horizontal="center" vertical="center"/>
      <protection locked="0"/>
    </xf>
    <xf numFmtId="0" fontId="5" fillId="0" borderId="62" xfId="0" applyFont="1" applyFill="1" applyBorder="1" applyAlignment="1" applyProtection="1">
      <alignment horizontal="center" vertical="center"/>
      <protection locked="0"/>
    </xf>
    <xf numFmtId="0" fontId="24" fillId="0" borderId="64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center"/>
    </xf>
    <xf numFmtId="0" fontId="24" fillId="0" borderId="65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24" fillId="0" borderId="66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67" xfId="0" applyFont="1" applyBorder="1" applyAlignment="1">
      <alignment horizontal="center" vertical="center"/>
    </xf>
    <xf numFmtId="42" fontId="5" fillId="0" borderId="56" xfId="0" applyNumberFormat="1" applyFont="1" applyBorder="1" applyAlignment="1">
      <alignment horizontal="center" vertical="center"/>
    </xf>
    <xf numFmtId="42" fontId="5" fillId="0" borderId="28" xfId="0" applyNumberFormat="1" applyFont="1" applyBorder="1" applyAlignment="1">
      <alignment horizontal="center" vertical="center"/>
    </xf>
    <xf numFmtId="42" fontId="5" fillId="0" borderId="27" xfId="0" applyNumberFormat="1" applyFont="1" applyBorder="1" applyAlignment="1">
      <alignment horizontal="center" vertical="center"/>
    </xf>
    <xf numFmtId="0" fontId="5" fillId="0" borderId="86" xfId="0" applyFont="1" applyFill="1" applyBorder="1" applyAlignment="1">
      <alignment horizontal="center"/>
    </xf>
    <xf numFmtId="0" fontId="5" fillId="0" borderId="69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42" fontId="5" fillId="0" borderId="26" xfId="0" applyNumberFormat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9900"/>
      <color rgb="FFB937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100"/>
  <sheetViews>
    <sheetView tabSelected="1" zoomScale="80" zoomScaleNormal="80" workbookViewId="0">
      <pane xSplit="7" ySplit="8" topLeftCell="H48" activePane="bottomRight" state="frozen"/>
      <selection pane="topRight" activeCell="H1" sqref="H1"/>
      <selection pane="bottomLeft" activeCell="A5" sqref="A5"/>
      <selection pane="bottomRight" activeCell="B6" sqref="B6:F8"/>
    </sheetView>
  </sheetViews>
  <sheetFormatPr defaultRowHeight="13.2" outlineLevelCol="1" x14ac:dyDescent="0.25"/>
  <cols>
    <col min="1" max="1" width="5" style="335" customWidth="1"/>
    <col min="2" max="2" width="9.6640625" customWidth="1"/>
    <col min="3" max="3" width="14.88671875" customWidth="1"/>
    <col min="4" max="4" width="8.5546875" style="64" customWidth="1"/>
    <col min="5" max="5" width="4.44140625" customWidth="1"/>
    <col min="6" max="6" width="7.88671875" customWidth="1"/>
    <col min="7" max="7" width="15.5546875" style="77" customWidth="1"/>
    <col min="8" max="10" width="12.33203125" style="5" customWidth="1" outlineLevel="1"/>
    <col min="11" max="11" width="12.33203125" style="5" bestFit="1" customWidth="1" outlineLevel="1"/>
    <col min="12" max="13" width="12.33203125" style="5" customWidth="1" outlineLevel="1"/>
    <col min="14" max="14" width="13" style="5" bestFit="1" customWidth="1" outlineLevel="1"/>
    <col min="15" max="21" width="12.33203125" style="5" customWidth="1" outlineLevel="1"/>
    <col min="22" max="23" width="12.5546875" style="5" customWidth="1" outlineLevel="1"/>
    <col min="24" max="24" width="13.44140625" style="5" bestFit="1" customWidth="1" outlineLevel="1"/>
    <col min="25" max="25" width="13.44140625" style="5" customWidth="1" outlineLevel="1"/>
    <col min="26" max="26" width="18.109375" style="6" hidden="1" customWidth="1" outlineLevel="1"/>
    <col min="27" max="27" width="14.109375" bestFit="1" customWidth="1" outlineLevel="1"/>
    <col min="29" max="29" width="11.44140625" bestFit="1" customWidth="1"/>
    <col min="30" max="33" width="13.109375" bestFit="1" customWidth="1"/>
  </cols>
  <sheetData>
    <row r="1" spans="1:26" x14ac:dyDescent="0.25">
      <c r="B1" s="324"/>
    </row>
    <row r="2" spans="1:26" ht="15.6" customHeight="1" x14ac:dyDescent="0.4">
      <c r="B2" s="323" t="s">
        <v>58</v>
      </c>
      <c r="C2" s="284"/>
      <c r="D2" s="3"/>
      <c r="F2" s="2"/>
      <c r="G2" s="4"/>
      <c r="H2" s="85"/>
      <c r="I2" s="85"/>
      <c r="J2" s="85"/>
      <c r="K2" s="85"/>
      <c r="L2" s="85"/>
      <c r="M2" s="86"/>
      <c r="N2" s="86"/>
      <c r="O2" s="85"/>
      <c r="P2" s="319"/>
      <c r="Q2" s="85"/>
    </row>
    <row r="3" spans="1:26" x14ac:dyDescent="0.25">
      <c r="B3" s="324" t="s">
        <v>66</v>
      </c>
      <c r="C3" s="288" t="s">
        <v>68</v>
      </c>
      <c r="D3" s="3"/>
      <c r="E3" s="8"/>
      <c r="F3" s="2"/>
      <c r="G3" s="9"/>
      <c r="H3" s="85"/>
      <c r="I3" s="85"/>
      <c r="J3" s="85"/>
      <c r="K3" s="85"/>
      <c r="L3" s="85"/>
      <c r="M3" s="86"/>
      <c r="N3" s="86"/>
      <c r="O3" s="85"/>
      <c r="P3" s="85"/>
      <c r="Q3" s="85"/>
    </row>
    <row r="4" spans="1:26" x14ac:dyDescent="0.25">
      <c r="B4" s="325" t="s">
        <v>0</v>
      </c>
      <c r="C4" s="288"/>
      <c r="D4" s="3"/>
      <c r="E4" s="8"/>
      <c r="F4" s="2"/>
      <c r="G4" s="9"/>
      <c r="H4" s="85"/>
      <c r="I4" s="85"/>
      <c r="J4" s="85"/>
      <c r="K4" s="85"/>
      <c r="L4" s="85"/>
      <c r="M4" s="86"/>
      <c r="N4" s="86"/>
      <c r="O4" s="85"/>
      <c r="P4" s="85"/>
      <c r="Q4" s="85"/>
    </row>
    <row r="5" spans="1:26" ht="13.8" thickBot="1" x14ac:dyDescent="0.3">
      <c r="B5" s="326" t="s">
        <v>77</v>
      </c>
      <c r="C5" s="327"/>
      <c r="D5" s="3"/>
      <c r="E5" s="8"/>
      <c r="F5" s="2"/>
      <c r="G5" s="9"/>
      <c r="H5" s="85"/>
      <c r="I5" s="85"/>
      <c r="J5" s="85"/>
      <c r="K5" s="85"/>
      <c r="L5" s="85"/>
      <c r="M5" s="86"/>
      <c r="N5" s="86"/>
      <c r="O5" s="85"/>
      <c r="P5" s="85"/>
      <c r="Q5" s="85"/>
    </row>
    <row r="6" spans="1:26" ht="13.8" thickTop="1" x14ac:dyDescent="0.25">
      <c r="A6" s="388" t="s">
        <v>59</v>
      </c>
      <c r="B6" s="391" t="s">
        <v>60</v>
      </c>
      <c r="C6" s="392"/>
      <c r="D6" s="392"/>
      <c r="E6" s="392"/>
      <c r="F6" s="393"/>
      <c r="G6" s="400" t="s">
        <v>61</v>
      </c>
      <c r="H6" s="385" t="s">
        <v>62</v>
      </c>
      <c r="I6" s="386"/>
      <c r="J6" s="386"/>
      <c r="K6" s="386"/>
      <c r="L6" s="386"/>
      <c r="M6" s="386"/>
      <c r="N6" s="386"/>
      <c r="O6" s="386"/>
      <c r="P6" s="386"/>
      <c r="Q6" s="386"/>
      <c r="R6" s="386"/>
      <c r="S6" s="386"/>
      <c r="T6" s="386"/>
      <c r="U6" s="386"/>
      <c r="V6" s="386"/>
      <c r="W6" s="386"/>
      <c r="X6" s="386"/>
      <c r="Y6" s="387"/>
    </row>
    <row r="7" spans="1:26" x14ac:dyDescent="0.25">
      <c r="A7" s="389"/>
      <c r="B7" s="394"/>
      <c r="C7" s="395"/>
      <c r="D7" s="395"/>
      <c r="E7" s="395"/>
      <c r="F7" s="396"/>
      <c r="G7" s="401"/>
      <c r="H7" s="403"/>
      <c r="I7" s="404"/>
      <c r="J7" s="404"/>
      <c r="K7" s="404"/>
      <c r="L7" s="381">
        <f>H7+1</f>
        <v>1</v>
      </c>
      <c r="M7" s="382"/>
      <c r="N7" s="382"/>
      <c r="O7" s="383"/>
      <c r="P7" s="381">
        <f>L7+1</f>
        <v>2</v>
      </c>
      <c r="Q7" s="382"/>
      <c r="R7" s="382"/>
      <c r="S7" s="383"/>
      <c r="T7" s="381">
        <f>P7+1</f>
        <v>3</v>
      </c>
      <c r="U7" s="382"/>
      <c r="V7" s="382"/>
      <c r="W7" s="384"/>
      <c r="X7" s="383"/>
      <c r="Y7" s="285"/>
      <c r="Z7"/>
    </row>
    <row r="8" spans="1:26" ht="13.8" thickBot="1" x14ac:dyDescent="0.3">
      <c r="A8" s="390"/>
      <c r="B8" s="397"/>
      <c r="C8" s="398"/>
      <c r="D8" s="398"/>
      <c r="E8" s="398"/>
      <c r="F8" s="399"/>
      <c r="G8" s="402"/>
      <c r="H8" s="332">
        <v>43661</v>
      </c>
      <c r="I8" s="331">
        <f>H8+90</f>
        <v>43751</v>
      </c>
      <c r="J8" s="331">
        <v>43910</v>
      </c>
      <c r="K8" s="331">
        <f>J8+90</f>
        <v>44000</v>
      </c>
      <c r="L8" s="332">
        <f>+K8+90</f>
        <v>44090</v>
      </c>
      <c r="M8" s="333">
        <f>+L8+93</f>
        <v>44183</v>
      </c>
      <c r="N8" s="333">
        <f>+M8+90</f>
        <v>44273</v>
      </c>
      <c r="O8" s="334">
        <f>+N8+92</f>
        <v>44365</v>
      </c>
      <c r="P8" s="332">
        <f>+O8+92</f>
        <v>44457</v>
      </c>
      <c r="Q8" s="333">
        <f>+P8+90</f>
        <v>44547</v>
      </c>
      <c r="R8" s="333">
        <f>+Q8+90</f>
        <v>44637</v>
      </c>
      <c r="S8" s="334">
        <f>+R8+92</f>
        <v>44729</v>
      </c>
      <c r="T8" s="332">
        <f>+S8+92</f>
        <v>44821</v>
      </c>
      <c r="U8" s="333">
        <f>+T8+92</f>
        <v>44913</v>
      </c>
      <c r="V8" s="286"/>
      <c r="W8"/>
      <c r="X8"/>
      <c r="Y8"/>
      <c r="Z8"/>
    </row>
    <row r="9" spans="1:26" x14ac:dyDescent="0.25">
      <c r="A9" s="336"/>
      <c r="B9" s="11"/>
      <c r="C9" s="11"/>
      <c r="D9" s="12"/>
      <c r="E9" s="11"/>
      <c r="F9" s="13"/>
      <c r="G9" s="14"/>
      <c r="H9" s="194"/>
      <c r="I9" s="365"/>
      <c r="J9" s="365"/>
      <c r="K9" s="253"/>
      <c r="L9" s="194"/>
      <c r="M9" s="195"/>
      <c r="N9" s="195"/>
      <c r="O9" s="198"/>
      <c r="P9" s="194"/>
      <c r="Q9" s="195"/>
      <c r="R9" s="195"/>
      <c r="S9" s="198"/>
      <c r="T9" s="194"/>
      <c r="U9" s="195"/>
      <c r="V9" s="286"/>
      <c r="W9"/>
      <c r="X9"/>
      <c r="Y9"/>
      <c r="Z9"/>
    </row>
    <row r="10" spans="1:26" x14ac:dyDescent="0.25">
      <c r="A10" s="337"/>
      <c r="B10" s="17" t="s">
        <v>2</v>
      </c>
      <c r="C10" s="17"/>
      <c r="D10" s="17"/>
      <c r="E10" s="18"/>
      <c r="F10" s="19"/>
      <c r="G10" s="20"/>
      <c r="H10" s="154"/>
      <c r="I10" s="366"/>
      <c r="J10" s="366"/>
      <c r="K10" s="22"/>
      <c r="L10" s="154"/>
      <c r="M10" s="21"/>
      <c r="N10" s="21"/>
      <c r="O10" s="199"/>
      <c r="P10" s="154"/>
      <c r="Q10" s="21"/>
      <c r="R10" s="21"/>
      <c r="S10" s="199"/>
      <c r="T10" s="154"/>
      <c r="U10" s="21"/>
      <c r="V10" s="286"/>
      <c r="W10"/>
      <c r="X10"/>
      <c r="Y10"/>
      <c r="Z10"/>
    </row>
    <row r="11" spans="1:26" x14ac:dyDescent="0.25">
      <c r="A11" s="337"/>
      <c r="B11" s="18"/>
      <c r="C11" s="18"/>
      <c r="D11" s="18"/>
      <c r="E11" s="18"/>
      <c r="F11" s="19"/>
      <c r="G11" s="24"/>
      <c r="H11" s="154"/>
      <c r="I11" s="366"/>
      <c r="J11" s="366"/>
      <c r="K11" s="22"/>
      <c r="L11" s="154"/>
      <c r="M11" s="21"/>
      <c r="N11" s="21"/>
      <c r="O11" s="199"/>
      <c r="P11" s="154"/>
      <c r="Q11" s="21"/>
      <c r="R11" s="21"/>
      <c r="S11" s="199"/>
      <c r="T11" s="154"/>
      <c r="U11" s="21"/>
      <c r="V11" s="286"/>
      <c r="W11"/>
      <c r="X11"/>
      <c r="Y11"/>
      <c r="Z11"/>
    </row>
    <row r="12" spans="1:26" hidden="1" x14ac:dyDescent="0.25">
      <c r="A12" s="337"/>
      <c r="B12" s="27"/>
      <c r="C12" s="27" t="s">
        <v>3</v>
      </c>
      <c r="D12" s="28" t="s">
        <v>4</v>
      </c>
      <c r="E12" s="27"/>
      <c r="F12" s="29"/>
      <c r="G12" s="30" t="e">
        <v>#REF!</v>
      </c>
      <c r="H12" s="155"/>
      <c r="I12" s="367"/>
      <c r="J12" s="367"/>
      <c r="K12" s="254"/>
      <c r="L12" s="155"/>
      <c r="M12" s="156" t="e">
        <v>#REF!</v>
      </c>
      <c r="N12" s="156" t="e">
        <v>#REF!</v>
      </c>
      <c r="O12" s="200" t="e">
        <v>#REF!</v>
      </c>
      <c r="P12" s="155" t="e">
        <v>#REF!</v>
      </c>
      <c r="Q12" s="156" t="e">
        <v>#REF!</v>
      </c>
      <c r="R12" s="156" t="e">
        <v>#REF!</v>
      </c>
      <c r="S12" s="200" t="e">
        <v>#REF!</v>
      </c>
      <c r="T12" s="155" t="e">
        <v>#REF!</v>
      </c>
      <c r="U12" s="156" t="e">
        <v>#REF!</v>
      </c>
      <c r="V12" s="286"/>
      <c r="W12"/>
      <c r="X12"/>
      <c r="Y12"/>
      <c r="Z12"/>
    </row>
    <row r="13" spans="1:26" hidden="1" x14ac:dyDescent="0.25">
      <c r="A13" s="337"/>
      <c r="B13" s="66"/>
      <c r="C13" s="27" t="s">
        <v>5</v>
      </c>
      <c r="D13" s="28" t="s">
        <v>4</v>
      </c>
      <c r="E13" s="27"/>
      <c r="F13" s="29"/>
      <c r="G13" s="20" t="e">
        <v>#REF!</v>
      </c>
      <c r="H13" s="154"/>
      <c r="I13" s="366"/>
      <c r="J13" s="366"/>
      <c r="K13" s="22"/>
      <c r="L13" s="154"/>
      <c r="M13" s="21" t="e">
        <v>#REF!</v>
      </c>
      <c r="N13" s="21" t="e">
        <v>#REF!</v>
      </c>
      <c r="O13" s="199" t="e">
        <v>#REF!</v>
      </c>
      <c r="P13" s="154" t="e">
        <v>#REF!</v>
      </c>
      <c r="Q13" s="21" t="e">
        <v>#REF!</v>
      </c>
      <c r="R13" s="21" t="e">
        <v>#REF!</v>
      </c>
      <c r="S13" s="199" t="e">
        <v>#REF!</v>
      </c>
      <c r="T13" s="154" t="e">
        <v>#REF!</v>
      </c>
      <c r="U13" s="21" t="e">
        <v>#REF!</v>
      </c>
      <c r="V13" s="286"/>
      <c r="W13"/>
      <c r="X13"/>
      <c r="Y13"/>
      <c r="Z13"/>
    </row>
    <row r="14" spans="1:26" hidden="1" x14ac:dyDescent="0.25">
      <c r="A14" s="337"/>
      <c r="B14" s="66"/>
      <c r="C14" s="27"/>
      <c r="D14" s="28" t="s">
        <v>4</v>
      </c>
      <c r="E14" s="27"/>
      <c r="F14" s="29"/>
      <c r="G14" s="20"/>
      <c r="H14" s="154"/>
      <c r="I14" s="366"/>
      <c r="J14" s="366"/>
      <c r="K14" s="22"/>
      <c r="L14" s="154"/>
      <c r="M14" s="21"/>
      <c r="N14" s="21"/>
      <c r="O14" s="199"/>
      <c r="P14" s="154"/>
      <c r="Q14" s="21"/>
      <c r="R14" s="21"/>
      <c r="S14" s="199"/>
      <c r="T14" s="154"/>
      <c r="U14" s="21"/>
      <c r="V14" s="286"/>
      <c r="W14"/>
      <c r="X14"/>
      <c r="Y14"/>
      <c r="Z14"/>
    </row>
    <row r="15" spans="1:26" hidden="1" x14ac:dyDescent="0.25">
      <c r="A15" s="337"/>
      <c r="B15" s="66"/>
      <c r="C15" s="27" t="s">
        <v>6</v>
      </c>
      <c r="D15" s="28" t="s">
        <v>4</v>
      </c>
      <c r="E15" s="27"/>
      <c r="F15" s="29"/>
      <c r="G15" s="30" t="e">
        <v>#REF!</v>
      </c>
      <c r="H15" s="155"/>
      <c r="I15" s="367"/>
      <c r="J15" s="367"/>
      <c r="K15" s="254"/>
      <c r="L15" s="155"/>
      <c r="M15" s="156" t="e">
        <v>#REF!</v>
      </c>
      <c r="N15" s="156" t="e">
        <v>#REF!</v>
      </c>
      <c r="O15" s="200" t="e">
        <v>#REF!</v>
      </c>
      <c r="P15" s="155" t="e">
        <v>#REF!</v>
      </c>
      <c r="Q15" s="156" t="e">
        <v>#REF!</v>
      </c>
      <c r="R15" s="156" t="e">
        <v>#REF!</v>
      </c>
      <c r="S15" s="200" t="e">
        <v>#REF!</v>
      </c>
      <c r="T15" s="155" t="e">
        <v>#REF!</v>
      </c>
      <c r="U15" s="156" t="e">
        <v>#REF!</v>
      </c>
      <c r="V15" s="286"/>
      <c r="W15"/>
      <c r="X15"/>
      <c r="Y15"/>
      <c r="Z15"/>
    </row>
    <row r="16" spans="1:26" hidden="1" x14ac:dyDescent="0.25">
      <c r="A16" s="337"/>
      <c r="B16" s="66"/>
      <c r="C16" s="27" t="s">
        <v>7</v>
      </c>
      <c r="D16" s="28" t="s">
        <v>4</v>
      </c>
      <c r="E16" s="27"/>
      <c r="F16" s="29"/>
      <c r="G16" s="20" t="e">
        <v>#REF!</v>
      </c>
      <c r="H16" s="154"/>
      <c r="I16" s="366"/>
      <c r="J16" s="366"/>
      <c r="K16" s="22"/>
      <c r="L16" s="154"/>
      <c r="M16" s="21" t="e">
        <v>#REF!</v>
      </c>
      <c r="N16" s="21" t="e">
        <v>#REF!</v>
      </c>
      <c r="O16" s="199" t="e">
        <v>#REF!</v>
      </c>
      <c r="P16" s="154" t="e">
        <v>#REF!</v>
      </c>
      <c r="Q16" s="21" t="e">
        <v>#REF!</v>
      </c>
      <c r="R16" s="21" t="e">
        <v>#REF!</v>
      </c>
      <c r="S16" s="199" t="e">
        <v>#REF!</v>
      </c>
      <c r="T16" s="154" t="e">
        <v>#REF!</v>
      </c>
      <c r="U16" s="21" t="e">
        <v>#REF!</v>
      </c>
      <c r="V16" s="286"/>
      <c r="W16"/>
      <c r="X16"/>
      <c r="Y16"/>
      <c r="Z16"/>
    </row>
    <row r="17" spans="1:29" hidden="1" x14ac:dyDescent="0.25">
      <c r="A17" s="337"/>
      <c r="B17" s="66"/>
      <c r="C17" s="27"/>
      <c r="D17" s="28" t="s">
        <v>4</v>
      </c>
      <c r="E17" s="27"/>
      <c r="F17" s="29"/>
      <c r="G17" s="20"/>
      <c r="H17" s="154"/>
      <c r="I17" s="366"/>
      <c r="J17" s="366"/>
      <c r="K17" s="22"/>
      <c r="L17" s="154"/>
      <c r="M17" s="21"/>
      <c r="N17" s="21"/>
      <c r="O17" s="199"/>
      <c r="P17" s="154"/>
      <c r="Q17" s="21"/>
      <c r="R17" s="21"/>
      <c r="S17" s="199"/>
      <c r="T17" s="154"/>
      <c r="U17" s="21"/>
      <c r="V17" s="286"/>
      <c r="W17"/>
      <c r="X17"/>
      <c r="Y17"/>
      <c r="Z17"/>
    </row>
    <row r="18" spans="1:29" hidden="1" x14ac:dyDescent="0.25">
      <c r="A18" s="337"/>
      <c r="B18" s="66"/>
      <c r="C18" s="27" t="s">
        <v>8</v>
      </c>
      <c r="D18" s="28" t="s">
        <v>4</v>
      </c>
      <c r="E18" s="27"/>
      <c r="F18" s="29"/>
      <c r="G18" s="30" t="e">
        <v>#REF!</v>
      </c>
      <c r="H18" s="155"/>
      <c r="I18" s="367"/>
      <c r="J18" s="367"/>
      <c r="K18" s="254"/>
      <c r="L18" s="155"/>
      <c r="M18" s="156" t="e">
        <v>#REF!</v>
      </c>
      <c r="N18" s="156" t="e">
        <v>#REF!</v>
      </c>
      <c r="O18" s="200" t="e">
        <v>#REF!</v>
      </c>
      <c r="P18" s="155" t="e">
        <v>#REF!</v>
      </c>
      <c r="Q18" s="156" t="e">
        <v>#REF!</v>
      </c>
      <c r="R18" s="156" t="e">
        <v>#REF!</v>
      </c>
      <c r="S18" s="200" t="e">
        <v>#REF!</v>
      </c>
      <c r="T18" s="155" t="e">
        <v>#REF!</v>
      </c>
      <c r="U18" s="156" t="e">
        <v>#REF!</v>
      </c>
      <c r="V18" s="286"/>
      <c r="W18"/>
      <c r="X18"/>
      <c r="Y18"/>
      <c r="Z18"/>
    </row>
    <row r="19" spans="1:29" hidden="1" x14ac:dyDescent="0.25">
      <c r="A19" s="337"/>
      <c r="B19" s="66"/>
      <c r="C19" s="27" t="s">
        <v>9</v>
      </c>
      <c r="D19" s="28" t="s">
        <v>4</v>
      </c>
      <c r="E19" s="27"/>
      <c r="F19" s="29"/>
      <c r="G19" s="20" t="e">
        <v>#REF!</v>
      </c>
      <c r="H19" s="154"/>
      <c r="I19" s="366"/>
      <c r="J19" s="366"/>
      <c r="K19" s="22"/>
      <c r="L19" s="154"/>
      <c r="M19" s="21" t="e">
        <v>#REF!</v>
      </c>
      <c r="N19" s="21" t="e">
        <v>#REF!</v>
      </c>
      <c r="O19" s="199" t="e">
        <v>#REF!</v>
      </c>
      <c r="P19" s="154" t="e">
        <v>#REF!</v>
      </c>
      <c r="Q19" s="21" t="e">
        <v>#REF!</v>
      </c>
      <c r="R19" s="21" t="e">
        <v>#REF!</v>
      </c>
      <c r="S19" s="199" t="e">
        <v>#REF!</v>
      </c>
      <c r="T19" s="154" t="e">
        <v>#REF!</v>
      </c>
      <c r="U19" s="21" t="e">
        <v>#REF!</v>
      </c>
      <c r="V19" s="286"/>
      <c r="W19"/>
      <c r="X19"/>
      <c r="Y19"/>
      <c r="Z19"/>
    </row>
    <row r="20" spans="1:29" x14ac:dyDescent="0.25">
      <c r="A20" s="337"/>
      <c r="B20" s="66"/>
      <c r="C20" s="35" t="s">
        <v>39</v>
      </c>
      <c r="D20" s="131" t="s">
        <v>71</v>
      </c>
      <c r="E20" s="27"/>
      <c r="F20" s="29"/>
      <c r="G20" s="20">
        <v>42000</v>
      </c>
      <c r="H20" s="154"/>
      <c r="I20" s="366"/>
      <c r="J20" s="366"/>
      <c r="K20" s="22"/>
      <c r="L20" s="154"/>
      <c r="M20" s="21"/>
      <c r="N20" s="21">
        <v>42000</v>
      </c>
      <c r="O20" s="21">
        <f>N20+N20*0.06/4</f>
        <v>42630</v>
      </c>
      <c r="P20" s="21">
        <f t="shared" ref="P20:U20" si="0">O20+O20*0.06/4</f>
        <v>43269.45</v>
      </c>
      <c r="Q20" s="21">
        <f t="shared" si="0"/>
        <v>43918.491749999994</v>
      </c>
      <c r="R20" s="21">
        <f t="shared" si="0"/>
        <v>44577.269126249994</v>
      </c>
      <c r="S20" s="21">
        <f t="shared" si="0"/>
        <v>45245.928163143741</v>
      </c>
      <c r="T20" s="21">
        <f t="shared" si="0"/>
        <v>45924.6170855909</v>
      </c>
      <c r="U20" s="21">
        <f t="shared" si="0"/>
        <v>46613.486341874763</v>
      </c>
      <c r="V20" s="287"/>
      <c r="W20"/>
      <c r="X20"/>
      <c r="Y20"/>
      <c r="Z20"/>
    </row>
    <row r="21" spans="1:29" hidden="1" x14ac:dyDescent="0.25">
      <c r="A21" s="337"/>
      <c r="B21" s="66"/>
      <c r="C21" s="35" t="s">
        <v>39</v>
      </c>
      <c r="D21" s="131" t="s">
        <v>46</v>
      </c>
      <c r="E21" s="27"/>
      <c r="F21" s="29"/>
      <c r="G21" s="20"/>
      <c r="H21" s="154"/>
      <c r="I21" s="366"/>
      <c r="J21" s="366"/>
      <c r="K21" s="22"/>
      <c r="L21" s="154"/>
      <c r="M21" s="21"/>
      <c r="N21" s="21">
        <v>0</v>
      </c>
      <c r="O21" s="199">
        <f>N21+0.06*N21/4</f>
        <v>0</v>
      </c>
      <c r="P21" s="154">
        <f t="shared" ref="P21:U21" si="1">O21+0.06*O21/4</f>
        <v>0</v>
      </c>
      <c r="Q21" s="21">
        <f t="shared" si="1"/>
        <v>0</v>
      </c>
      <c r="R21" s="21">
        <f t="shared" si="1"/>
        <v>0</v>
      </c>
      <c r="S21" s="199">
        <f t="shared" si="1"/>
        <v>0</v>
      </c>
      <c r="T21" s="154">
        <f t="shared" si="1"/>
        <v>0</v>
      </c>
      <c r="U21" s="21">
        <f t="shared" si="1"/>
        <v>0</v>
      </c>
      <c r="V21" s="287">
        <f>SUM(H21:U21)</f>
        <v>0</v>
      </c>
      <c r="W21"/>
      <c r="X21"/>
      <c r="Y21"/>
      <c r="Z21"/>
    </row>
    <row r="22" spans="1:29" s="2" customFormat="1" x14ac:dyDescent="0.25">
      <c r="A22" s="337"/>
      <c r="B22" s="18"/>
      <c r="C22" s="100" t="s">
        <v>42</v>
      </c>
      <c r="D22" s="131" t="str">
        <f>D20</f>
        <v>40' x 110'</v>
      </c>
      <c r="E22" s="42"/>
      <c r="F22" s="43"/>
      <c r="G22" s="93">
        <f>G27</f>
        <v>238</v>
      </c>
      <c r="H22" s="201"/>
      <c r="I22" s="378"/>
      <c r="J22" s="378"/>
      <c r="K22" s="302"/>
      <c r="L22" s="201"/>
      <c r="M22" s="202"/>
      <c r="N22" s="158">
        <v>119</v>
      </c>
      <c r="O22" s="313"/>
      <c r="P22" s="313"/>
      <c r="Q22" s="313"/>
      <c r="R22" s="313">
        <v>119</v>
      </c>
      <c r="S22" s="313"/>
      <c r="T22" s="313"/>
      <c r="U22" s="313"/>
      <c r="V22" s="287">
        <f>SUM(H22:U22)</f>
        <v>238</v>
      </c>
      <c r="X22"/>
      <c r="Y22"/>
      <c r="Z22"/>
    </row>
    <row r="23" spans="1:29" s="2" customFormat="1" hidden="1" x14ac:dyDescent="0.25">
      <c r="A23" s="337"/>
      <c r="B23" s="18"/>
      <c r="C23" s="100" t="s">
        <v>42</v>
      </c>
      <c r="D23" s="35" t="s">
        <v>43</v>
      </c>
      <c r="E23" s="42"/>
      <c r="F23" s="43"/>
      <c r="G23" s="93"/>
      <c r="H23" s="201"/>
      <c r="I23" s="378"/>
      <c r="J23" s="378"/>
      <c r="K23" s="302"/>
      <c r="L23" s="201"/>
      <c r="M23" s="202"/>
      <c r="N23" s="164"/>
      <c r="O23" s="235"/>
      <c r="P23" s="165"/>
      <c r="Q23" s="164"/>
      <c r="R23" s="164"/>
      <c r="S23" s="235"/>
      <c r="T23" s="165"/>
      <c r="U23" s="164"/>
      <c r="V23" s="287">
        <f>SUM(H23:U23)</f>
        <v>0</v>
      </c>
      <c r="X23"/>
      <c r="Y23"/>
      <c r="Z23"/>
    </row>
    <row r="24" spans="1:29" x14ac:dyDescent="0.25">
      <c r="A24" s="337"/>
      <c r="B24" s="66"/>
      <c r="C24" s="27" t="s">
        <v>10</v>
      </c>
      <c r="D24" s="35"/>
      <c r="E24" s="27"/>
      <c r="F24" s="29"/>
      <c r="G24" s="34">
        <f>SUM(H24:U24)</f>
        <v>10302695.026023749</v>
      </c>
      <c r="H24" s="154"/>
      <c r="I24" s="366"/>
      <c r="J24" s="366"/>
      <c r="K24" s="22"/>
      <c r="L24" s="154"/>
      <c r="M24" s="21">
        <f>M21*M22</f>
        <v>0</v>
      </c>
      <c r="N24" s="21">
        <f>SUM(N20*N22)+(N21*N23)</f>
        <v>4998000</v>
      </c>
      <c r="O24" s="199">
        <f t="shared" ref="O24:U24" si="2">SUM(O20*O22)+(O21*O23)</f>
        <v>0</v>
      </c>
      <c r="P24" s="154">
        <f t="shared" si="2"/>
        <v>0</v>
      </c>
      <c r="Q24" s="21">
        <f t="shared" si="2"/>
        <v>0</v>
      </c>
      <c r="R24" s="21">
        <f t="shared" si="2"/>
        <v>5304695.0260237493</v>
      </c>
      <c r="S24" s="199">
        <f t="shared" si="2"/>
        <v>0</v>
      </c>
      <c r="T24" s="154">
        <f t="shared" si="2"/>
        <v>0</v>
      </c>
      <c r="U24" s="21">
        <f t="shared" si="2"/>
        <v>0</v>
      </c>
      <c r="V24" s="287">
        <f>SUM(H24:U24)</f>
        <v>10302695.026023749</v>
      </c>
      <c r="W24"/>
      <c r="X24"/>
      <c r="Y24"/>
      <c r="Z24"/>
    </row>
    <row r="25" spans="1:29" x14ac:dyDescent="0.25">
      <c r="A25" s="337"/>
      <c r="B25" s="66"/>
      <c r="C25" s="27" t="s">
        <v>11</v>
      </c>
      <c r="D25" s="35"/>
      <c r="E25" s="27"/>
      <c r="F25" s="29"/>
      <c r="G25" s="34">
        <f>SUM(H25:U25)</f>
        <v>-796103.900520475</v>
      </c>
      <c r="H25" s="154"/>
      <c r="I25" s="366"/>
      <c r="J25" s="366"/>
      <c r="K25" s="22"/>
      <c r="L25" s="154"/>
      <c r="M25" s="21"/>
      <c r="N25" s="21">
        <f>-N24*0.02-500-2475*N22</f>
        <v>-394985</v>
      </c>
      <c r="O25" s="21"/>
      <c r="P25" s="21"/>
      <c r="Q25" s="21"/>
      <c r="R25" s="21">
        <f t="shared" ref="R25" si="3">-R24*0.02-500-2475*R22</f>
        <v>-401118.900520475</v>
      </c>
      <c r="S25" s="21"/>
      <c r="T25" s="21"/>
      <c r="U25" s="21"/>
      <c r="V25" s="287">
        <f>SUM(H25:U25)</f>
        <v>-796103.900520475</v>
      </c>
      <c r="W25"/>
      <c r="X25"/>
      <c r="Y25"/>
      <c r="Z25"/>
    </row>
    <row r="26" spans="1:29" x14ac:dyDescent="0.25">
      <c r="A26" s="337"/>
      <c r="B26" s="66"/>
      <c r="C26" s="27" t="s">
        <v>69</v>
      </c>
      <c r="D26" s="35"/>
      <c r="E26" s="27"/>
      <c r="F26" s="29"/>
      <c r="G26" s="34">
        <f>SUM(H26:U26)</f>
        <v>9506591.1255032755</v>
      </c>
      <c r="H26" s="154"/>
      <c r="I26" s="366"/>
      <c r="J26" s="366"/>
      <c r="K26" s="22"/>
      <c r="L26" s="154"/>
      <c r="M26" s="21"/>
      <c r="N26" s="21">
        <f>N24+N25</f>
        <v>4603015</v>
      </c>
      <c r="O26" s="21">
        <f t="shared" ref="O26:U26" si="4">O24+O25</f>
        <v>0</v>
      </c>
      <c r="P26" s="21">
        <f t="shared" si="4"/>
        <v>0</v>
      </c>
      <c r="Q26" s="21">
        <f t="shared" si="4"/>
        <v>0</v>
      </c>
      <c r="R26" s="21">
        <f t="shared" si="4"/>
        <v>4903576.1255032746</v>
      </c>
      <c r="S26" s="21">
        <f t="shared" si="4"/>
        <v>0</v>
      </c>
      <c r="T26" s="21">
        <f t="shared" si="4"/>
        <v>0</v>
      </c>
      <c r="U26" s="21">
        <f t="shared" si="4"/>
        <v>0</v>
      </c>
      <c r="V26" s="287"/>
      <c r="W26"/>
      <c r="X26"/>
      <c r="Y26"/>
      <c r="Z26"/>
    </row>
    <row r="27" spans="1:29" x14ac:dyDescent="0.25">
      <c r="A27" s="337"/>
      <c r="B27" s="66"/>
      <c r="C27" s="27" t="s">
        <v>12</v>
      </c>
      <c r="D27" s="35"/>
      <c r="E27" s="27"/>
      <c r="F27" s="29"/>
      <c r="G27" s="130">
        <f>E43</f>
        <v>238</v>
      </c>
      <c r="H27" s="154"/>
      <c r="I27" s="366"/>
      <c r="J27" s="366"/>
      <c r="K27" s="22"/>
      <c r="L27" s="154"/>
      <c r="M27" s="21">
        <f>M22</f>
        <v>0</v>
      </c>
      <c r="N27" s="21">
        <f t="shared" ref="N27:U27" si="5">N22+N23+M27</f>
        <v>119</v>
      </c>
      <c r="O27" s="199">
        <f t="shared" si="5"/>
        <v>119</v>
      </c>
      <c r="P27" s="154">
        <f t="shared" si="5"/>
        <v>119</v>
      </c>
      <c r="Q27" s="21">
        <f t="shared" si="5"/>
        <v>119</v>
      </c>
      <c r="R27" s="21">
        <f t="shared" si="5"/>
        <v>238</v>
      </c>
      <c r="S27" s="199">
        <f t="shared" si="5"/>
        <v>238</v>
      </c>
      <c r="T27" s="154">
        <f t="shared" si="5"/>
        <v>238</v>
      </c>
      <c r="U27" s="21">
        <f t="shared" si="5"/>
        <v>238</v>
      </c>
      <c r="V27" s="287"/>
      <c r="W27"/>
      <c r="X27"/>
      <c r="Y27"/>
      <c r="Z27"/>
    </row>
    <row r="28" spans="1:29" x14ac:dyDescent="0.25">
      <c r="A28" s="337"/>
      <c r="B28" s="66"/>
      <c r="C28" s="27" t="s">
        <v>70</v>
      </c>
      <c r="D28" s="35"/>
      <c r="E28" s="27"/>
      <c r="F28" s="29"/>
      <c r="G28" s="34">
        <f>SUM(H28:U28)</f>
        <v>2304400</v>
      </c>
      <c r="H28" s="215"/>
      <c r="I28" s="366"/>
      <c r="J28" s="366"/>
      <c r="K28" s="366">
        <f>1400000+3800*E37</f>
        <v>1852200</v>
      </c>
      <c r="L28" s="215"/>
      <c r="M28" s="366"/>
      <c r="N28" s="366"/>
      <c r="O28" s="275"/>
      <c r="P28" s="215">
        <f>3800*E38</f>
        <v>452200</v>
      </c>
      <c r="Q28" s="366"/>
      <c r="R28" s="366"/>
      <c r="S28" s="275"/>
      <c r="T28" s="215"/>
      <c r="U28" s="366"/>
      <c r="V28" s="287">
        <f>SUM(H28:U28)</f>
        <v>2304400</v>
      </c>
      <c r="W28"/>
      <c r="X28"/>
      <c r="Y28"/>
      <c r="Z28"/>
    </row>
    <row r="29" spans="1:29" s="2" customFormat="1" x14ac:dyDescent="0.25">
      <c r="A29" s="337"/>
      <c r="B29" s="42"/>
      <c r="C29" s="359" t="s">
        <v>65</v>
      </c>
      <c r="D29" s="100"/>
      <c r="E29" s="102"/>
      <c r="F29" s="43"/>
      <c r="G29" s="34">
        <f>SUM(H29:U29)</f>
        <v>6821400</v>
      </c>
      <c r="H29" s="114">
        <f t="shared" ref="H29" si="6">(H46+H49+H57+0.3*H57 )</f>
        <v>0</v>
      </c>
      <c r="I29" s="114"/>
      <c r="J29" s="114"/>
      <c r="K29" s="114">
        <f>2300*E37*11</f>
        <v>3010700</v>
      </c>
      <c r="L29" s="114"/>
      <c r="M29" s="114"/>
      <c r="N29" s="114"/>
      <c r="O29" s="114"/>
      <c r="P29" s="114">
        <f>2300*E38*11</f>
        <v>3010700</v>
      </c>
      <c r="Q29" s="114"/>
      <c r="R29" s="114"/>
      <c r="S29" s="114"/>
      <c r="T29" s="114">
        <f>(T46+T49+T57+0.3*T57 )</f>
        <v>0</v>
      </c>
      <c r="U29" s="114">
        <v>800000</v>
      </c>
      <c r="V29" s="287">
        <f>SUM(H29:U29)</f>
        <v>6821400</v>
      </c>
      <c r="X29"/>
      <c r="Y29"/>
      <c r="Z29"/>
    </row>
    <row r="30" spans="1:29" x14ac:dyDescent="0.25">
      <c r="A30" s="337"/>
      <c r="B30" s="27"/>
      <c r="C30" s="133" t="s">
        <v>13</v>
      </c>
      <c r="D30" s="35"/>
      <c r="E30" s="27"/>
      <c r="F30" s="29"/>
      <c r="G30" s="24"/>
      <c r="H30" s="154"/>
      <c r="I30" s="366"/>
      <c r="J30" s="366"/>
      <c r="K30" s="22"/>
      <c r="L30" s="154"/>
      <c r="M30" s="21"/>
      <c r="N30" s="21">
        <f>N27*250000</f>
        <v>29750000</v>
      </c>
      <c r="O30" s="21">
        <f t="shared" ref="O30:U30" si="7">O27*250000</f>
        <v>29750000</v>
      </c>
      <c r="P30" s="21">
        <f t="shared" si="7"/>
        <v>29750000</v>
      </c>
      <c r="Q30" s="21">
        <f t="shared" si="7"/>
        <v>29750000</v>
      </c>
      <c r="R30" s="21">
        <f t="shared" si="7"/>
        <v>59500000</v>
      </c>
      <c r="S30" s="21">
        <f t="shared" si="7"/>
        <v>59500000</v>
      </c>
      <c r="T30" s="21">
        <f t="shared" si="7"/>
        <v>59500000</v>
      </c>
      <c r="U30" s="21">
        <f t="shared" si="7"/>
        <v>59500000</v>
      </c>
      <c r="V30" s="287"/>
      <c r="W30"/>
      <c r="X30"/>
      <c r="Y30"/>
      <c r="Z30"/>
      <c r="AA30" s="310"/>
      <c r="AB30" s="310"/>
      <c r="AC30" s="310"/>
    </row>
    <row r="31" spans="1:29" s="39" customFormat="1" x14ac:dyDescent="0.25">
      <c r="A31" s="337"/>
      <c r="B31" s="18" t="s">
        <v>14</v>
      </c>
      <c r="C31" s="18"/>
      <c r="D31" s="36"/>
      <c r="E31" s="37"/>
      <c r="F31" s="19"/>
      <c r="G31" s="38">
        <f>G24+G25+G29+G28</f>
        <v>18632391.125503272</v>
      </c>
      <c r="H31" s="38">
        <f t="shared" ref="H31:U31" si="8">H24+H25+H29+H28</f>
        <v>0</v>
      </c>
      <c r="I31" s="38">
        <f t="shared" si="8"/>
        <v>0</v>
      </c>
      <c r="J31" s="38">
        <f t="shared" si="8"/>
        <v>0</v>
      </c>
      <c r="K31" s="38">
        <f t="shared" si="8"/>
        <v>4862900</v>
      </c>
      <c r="L31" s="38">
        <f t="shared" si="8"/>
        <v>0</v>
      </c>
      <c r="M31" s="38">
        <f t="shared" si="8"/>
        <v>0</v>
      </c>
      <c r="N31" s="38">
        <f t="shared" si="8"/>
        <v>4603015</v>
      </c>
      <c r="O31" s="38">
        <f t="shared" si="8"/>
        <v>0</v>
      </c>
      <c r="P31" s="38">
        <f t="shared" si="8"/>
        <v>3462900</v>
      </c>
      <c r="Q31" s="38">
        <f t="shared" si="8"/>
        <v>0</v>
      </c>
      <c r="R31" s="38">
        <f t="shared" si="8"/>
        <v>4903576.1255032746</v>
      </c>
      <c r="S31" s="38">
        <f t="shared" si="8"/>
        <v>0</v>
      </c>
      <c r="T31" s="38">
        <f t="shared" si="8"/>
        <v>0</v>
      </c>
      <c r="U31" s="38">
        <f t="shared" si="8"/>
        <v>800000</v>
      </c>
      <c r="V31" s="287">
        <f t="shared" ref="V31:V58" si="9">SUM(H31:U31)</f>
        <v>18632391.125503276</v>
      </c>
      <c r="X31"/>
      <c r="Y31"/>
      <c r="Z31"/>
    </row>
    <row r="32" spans="1:29" x14ac:dyDescent="0.25">
      <c r="A32" s="337"/>
      <c r="B32" s="27"/>
      <c r="C32" s="27"/>
      <c r="D32" s="35"/>
      <c r="E32" s="27"/>
      <c r="F32" s="29"/>
      <c r="G32" s="24"/>
      <c r="H32" s="154"/>
      <c r="I32" s="366"/>
      <c r="J32" s="366"/>
      <c r="K32" s="22"/>
      <c r="L32" s="154"/>
      <c r="M32" s="21"/>
      <c r="N32" s="21"/>
      <c r="O32" s="199"/>
      <c r="P32" s="154"/>
      <c r="Q32" s="21"/>
      <c r="R32" s="21"/>
      <c r="S32" s="199"/>
      <c r="T32" s="154"/>
      <c r="U32" s="21"/>
      <c r="V32" s="287">
        <f t="shared" si="9"/>
        <v>0</v>
      </c>
      <c r="W32"/>
      <c r="X32"/>
      <c r="Y32"/>
      <c r="Z32"/>
    </row>
    <row r="33" spans="1:29" x14ac:dyDescent="0.25">
      <c r="A33" s="337"/>
      <c r="B33" s="17" t="s">
        <v>15</v>
      </c>
      <c r="C33" s="40"/>
      <c r="D33" s="41"/>
      <c r="E33" s="42"/>
      <c r="F33" s="43"/>
      <c r="G33" s="20"/>
      <c r="H33" s="154"/>
      <c r="I33" s="366"/>
      <c r="J33" s="366"/>
      <c r="K33" s="22"/>
      <c r="L33" s="154"/>
      <c r="M33" s="21"/>
      <c r="N33" s="21"/>
      <c r="O33" s="199"/>
      <c r="P33" s="154"/>
      <c r="Q33" s="21"/>
      <c r="R33" s="21"/>
      <c r="S33" s="199"/>
      <c r="T33" s="154"/>
      <c r="U33" s="21"/>
      <c r="V33" s="287">
        <f t="shared" si="9"/>
        <v>0</v>
      </c>
      <c r="W33"/>
      <c r="X33"/>
      <c r="Y33"/>
      <c r="Z33"/>
      <c r="AA33" s="311"/>
      <c r="AB33" s="311"/>
    </row>
    <row r="34" spans="1:29" x14ac:dyDescent="0.25">
      <c r="A34" s="337"/>
      <c r="B34" s="27"/>
      <c r="C34" s="27"/>
      <c r="D34" s="44"/>
      <c r="E34" s="27"/>
      <c r="F34" s="29"/>
      <c r="G34" s="24"/>
      <c r="H34" s="154"/>
      <c r="I34" s="366"/>
      <c r="J34" s="366"/>
      <c r="K34" s="22"/>
      <c r="L34" s="154"/>
      <c r="M34" s="21"/>
      <c r="N34" s="21"/>
      <c r="O34" s="199"/>
      <c r="P34" s="154"/>
      <c r="Q34" s="21"/>
      <c r="R34" s="21"/>
      <c r="S34" s="199"/>
      <c r="T34" s="154"/>
      <c r="U34" s="21"/>
      <c r="V34" s="287">
        <f t="shared" si="9"/>
        <v>0</v>
      </c>
      <c r="W34"/>
      <c r="X34"/>
      <c r="Y34"/>
      <c r="Z34"/>
      <c r="AB34" s="311"/>
    </row>
    <row r="35" spans="1:29" s="49" customFormat="1" x14ac:dyDescent="0.25">
      <c r="A35" s="338"/>
      <c r="B35" s="329" t="s">
        <v>16</v>
      </c>
      <c r="C35" s="46"/>
      <c r="D35" s="46"/>
      <c r="E35" s="46"/>
      <c r="F35" s="47"/>
      <c r="G35" s="48"/>
      <c r="H35" s="166"/>
      <c r="I35" s="128"/>
      <c r="J35" s="128"/>
      <c r="K35" s="257"/>
      <c r="L35" s="166"/>
      <c r="M35" s="167"/>
      <c r="N35" s="167"/>
      <c r="O35" s="204"/>
      <c r="P35" s="166"/>
      <c r="Q35" s="167"/>
      <c r="R35" s="167"/>
      <c r="S35" s="204"/>
      <c r="T35" s="166"/>
      <c r="U35" s="167"/>
      <c r="V35" s="287">
        <f t="shared" si="9"/>
        <v>0</v>
      </c>
      <c r="X35"/>
      <c r="Y35"/>
      <c r="Z35"/>
      <c r="AA35" s="311"/>
      <c r="AB35" s="311"/>
      <c r="AC35"/>
    </row>
    <row r="36" spans="1:29" s="49" customFormat="1" x14ac:dyDescent="0.25">
      <c r="A36" s="338"/>
      <c r="B36" s="329"/>
      <c r="C36" s="46"/>
      <c r="D36" s="363">
        <v>23000</v>
      </c>
      <c r="E36" s="364" t="s">
        <v>63</v>
      </c>
      <c r="F36" s="47"/>
      <c r="G36" s="360"/>
      <c r="H36" s="168"/>
      <c r="I36" s="368"/>
      <c r="J36" s="368"/>
      <c r="K36" s="258"/>
      <c r="L36" s="168"/>
      <c r="M36" s="169"/>
      <c r="N36" s="169"/>
      <c r="O36" s="205"/>
      <c r="P36" s="168"/>
      <c r="Q36" s="169"/>
      <c r="R36" s="169"/>
      <c r="S36" s="205"/>
      <c r="T36" s="168"/>
      <c r="U36" s="169"/>
      <c r="V36" s="287">
        <f t="shared" si="9"/>
        <v>0</v>
      </c>
      <c r="X36"/>
      <c r="Y36"/>
      <c r="Z36"/>
      <c r="AA36"/>
      <c r="AB36" s="311"/>
      <c r="AC36"/>
    </row>
    <row r="37" spans="1:29" s="122" customFormat="1" x14ac:dyDescent="0.25">
      <c r="A37" s="339"/>
      <c r="B37" s="330"/>
      <c r="C37" s="119" t="s">
        <v>47</v>
      </c>
      <c r="D37" s="128" t="s">
        <v>33</v>
      </c>
      <c r="E37" s="120">
        <v>119</v>
      </c>
      <c r="F37" s="121"/>
      <c r="G37" s="34">
        <f>D36*E38</f>
        <v>2737000</v>
      </c>
      <c r="H37" s="177"/>
      <c r="I37" s="369"/>
      <c r="J37" s="369"/>
      <c r="K37" s="259"/>
      <c r="L37" s="170">
        <f>G37/4</f>
        <v>684250</v>
      </c>
      <c r="M37" s="206">
        <f>G37/2</f>
        <v>1368500</v>
      </c>
      <c r="N37" s="206">
        <f>G37/4</f>
        <v>684250</v>
      </c>
      <c r="O37" s="208"/>
      <c r="P37" s="177"/>
      <c r="Q37" s="171"/>
      <c r="R37" s="171"/>
      <c r="S37" s="208"/>
      <c r="T37" s="177"/>
      <c r="U37" s="171"/>
      <c r="V37" s="287">
        <f t="shared" si="9"/>
        <v>2737000</v>
      </c>
      <c r="X37"/>
      <c r="Y37"/>
      <c r="Z37"/>
      <c r="AA37" s="311"/>
      <c r="AB37" s="311"/>
      <c r="AC37"/>
    </row>
    <row r="38" spans="1:29" s="125" customFormat="1" x14ac:dyDescent="0.25">
      <c r="A38" s="338"/>
      <c r="B38" s="61"/>
      <c r="C38" s="120" t="s">
        <v>57</v>
      </c>
      <c r="D38" s="129" t="s">
        <v>33</v>
      </c>
      <c r="E38" s="120">
        <v>119</v>
      </c>
      <c r="F38" s="124"/>
      <c r="G38" s="34">
        <f>D36*E38</f>
        <v>2737000</v>
      </c>
      <c r="H38" s="177"/>
      <c r="I38" s="369"/>
      <c r="J38" s="369"/>
      <c r="K38" s="259"/>
      <c r="L38" s="172"/>
      <c r="M38" s="171"/>
      <c r="N38" s="174"/>
      <c r="Q38" s="237">
        <f>G38/4</f>
        <v>684250</v>
      </c>
      <c r="R38" s="315">
        <f>G38/2</f>
        <v>1368500</v>
      </c>
      <c r="S38" s="173">
        <f>G38/4</f>
        <v>684250</v>
      </c>
      <c r="T38" s="172"/>
      <c r="U38" s="174"/>
      <c r="V38" s="287">
        <f t="shared" si="9"/>
        <v>2737000</v>
      </c>
      <c r="X38"/>
      <c r="Y38"/>
      <c r="Z38"/>
      <c r="AA38"/>
      <c r="AB38" s="311"/>
      <c r="AC38"/>
    </row>
    <row r="39" spans="1:29" s="125" customFormat="1" hidden="1" x14ac:dyDescent="0.25">
      <c r="A39" s="338"/>
      <c r="B39" s="61"/>
      <c r="C39" s="120" t="s">
        <v>50</v>
      </c>
      <c r="D39" s="129" t="s">
        <v>33</v>
      </c>
      <c r="E39" s="120"/>
      <c r="F39" s="124"/>
      <c r="G39" s="34"/>
      <c r="H39" s="177"/>
      <c r="I39" s="369"/>
      <c r="J39" s="369"/>
      <c r="K39" s="259"/>
      <c r="L39" s="177"/>
      <c r="M39" s="174"/>
      <c r="N39" s="174"/>
      <c r="O39" s="209"/>
      <c r="P39" s="172"/>
      <c r="Q39" s="174"/>
      <c r="R39" s="174"/>
      <c r="S39" s="209"/>
      <c r="T39" s="172"/>
      <c r="U39" s="176">
        <f>G39/4</f>
        <v>0</v>
      </c>
      <c r="V39" s="287">
        <f t="shared" si="9"/>
        <v>0</v>
      </c>
      <c r="X39"/>
      <c r="Y39"/>
      <c r="Z39"/>
      <c r="AA39"/>
      <c r="AB39" s="311"/>
      <c r="AC39"/>
    </row>
    <row r="40" spans="1:29" s="125" customFormat="1" hidden="1" x14ac:dyDescent="0.25">
      <c r="A40" s="338"/>
      <c r="B40" s="61"/>
      <c r="C40" s="120" t="s">
        <v>51</v>
      </c>
      <c r="D40" s="129" t="s">
        <v>33</v>
      </c>
      <c r="E40" s="120"/>
      <c r="F40" s="124"/>
      <c r="G40" s="34">
        <f t="shared" ref="G40:G41" si="10">28000*E40</f>
        <v>0</v>
      </c>
      <c r="H40" s="177"/>
      <c r="I40" s="369"/>
      <c r="J40" s="369"/>
      <c r="K40" s="259"/>
      <c r="L40" s="177"/>
      <c r="M40" s="171"/>
      <c r="N40" s="171"/>
      <c r="O40" s="208"/>
      <c r="P40" s="177"/>
      <c r="Q40" s="171"/>
      <c r="R40" s="174"/>
      <c r="S40" s="209"/>
      <c r="T40" s="172"/>
      <c r="U40" s="174"/>
      <c r="V40" s="287">
        <f t="shared" si="9"/>
        <v>0</v>
      </c>
      <c r="AA40" s="311"/>
      <c r="AB40" s="311"/>
      <c r="AC40"/>
    </row>
    <row r="41" spans="1:29" s="125" customFormat="1" hidden="1" x14ac:dyDescent="0.25">
      <c r="A41" s="338"/>
      <c r="B41" s="61"/>
      <c r="C41" s="120" t="s">
        <v>52</v>
      </c>
      <c r="D41" s="129" t="s">
        <v>33</v>
      </c>
      <c r="E41" s="120"/>
      <c r="F41" s="124"/>
      <c r="G41" s="34">
        <f t="shared" si="10"/>
        <v>0</v>
      </c>
      <c r="H41" s="177"/>
      <c r="I41" s="369"/>
      <c r="J41" s="369"/>
      <c r="K41" s="259"/>
      <c r="L41" s="177"/>
      <c r="M41" s="171"/>
      <c r="N41" s="171"/>
      <c r="O41" s="209"/>
      <c r="P41" s="362"/>
      <c r="Q41" s="174"/>
      <c r="R41" s="174"/>
      <c r="S41" s="209"/>
      <c r="T41" s="172"/>
      <c r="U41" s="174"/>
      <c r="V41" s="287">
        <f t="shared" si="9"/>
        <v>0</v>
      </c>
      <c r="AA41"/>
      <c r="AB41" s="311"/>
      <c r="AC41"/>
    </row>
    <row r="42" spans="1:29" s="125" customFormat="1" x14ac:dyDescent="0.25">
      <c r="A42" s="338"/>
      <c r="B42" s="61"/>
      <c r="C42" s="120" t="s">
        <v>56</v>
      </c>
      <c r="D42" s="120"/>
      <c r="E42" s="126"/>
      <c r="F42" s="124"/>
      <c r="G42" s="34">
        <v>800000</v>
      </c>
      <c r="H42" s="177"/>
      <c r="I42" s="369"/>
      <c r="J42" s="369"/>
      <c r="K42" s="259"/>
      <c r="L42" s="177"/>
      <c r="M42" s="171"/>
      <c r="N42" s="171"/>
      <c r="O42" s="204">
        <f>G42*15/100</f>
        <v>120000</v>
      </c>
      <c r="P42" s="361">
        <f>G42*40/100</f>
        <v>320000</v>
      </c>
      <c r="Q42" s="322">
        <f>G42-O42-P42</f>
        <v>360000</v>
      </c>
      <c r="R42" s="174"/>
      <c r="S42" s="209"/>
      <c r="T42" s="172"/>
      <c r="U42" s="174"/>
      <c r="V42" s="287">
        <f t="shared" si="9"/>
        <v>800000</v>
      </c>
      <c r="AA42" s="311"/>
      <c r="AB42" s="311"/>
      <c r="AC42"/>
    </row>
    <row r="43" spans="1:29" s="49" customFormat="1" x14ac:dyDescent="0.25">
      <c r="A43" s="338"/>
      <c r="B43" s="329"/>
      <c r="C43" s="46"/>
      <c r="D43" s="46"/>
      <c r="E43" s="97">
        <f>SUM(E37:E42)</f>
        <v>238</v>
      </c>
      <c r="F43" s="47"/>
      <c r="G43" s="34"/>
      <c r="H43" s="180"/>
      <c r="I43" s="379"/>
      <c r="J43" s="379"/>
      <c r="K43" s="303"/>
      <c r="L43" s="180"/>
      <c r="M43" s="181"/>
      <c r="N43" s="181"/>
      <c r="O43" s="210"/>
      <c r="P43" s="180"/>
      <c r="Q43" s="181"/>
      <c r="R43" s="182"/>
      <c r="S43" s="238"/>
      <c r="T43" s="245"/>
      <c r="U43" s="182"/>
      <c r="V43" s="287">
        <f t="shared" si="9"/>
        <v>0</v>
      </c>
      <c r="AA43"/>
      <c r="AB43" s="311"/>
      <c r="AC43"/>
    </row>
    <row r="44" spans="1:29" s="49" customFormat="1" x14ac:dyDescent="0.25">
      <c r="A44" s="338"/>
      <c r="B44" s="329"/>
      <c r="C44" s="46"/>
      <c r="D44" s="46"/>
      <c r="E44" s="46"/>
      <c r="F44" s="47"/>
      <c r="G44" s="34"/>
      <c r="H44" s="180"/>
      <c r="I44" s="379"/>
      <c r="J44" s="379"/>
      <c r="K44" s="303"/>
      <c r="L44" s="180"/>
      <c r="M44" s="181"/>
      <c r="N44" s="181"/>
      <c r="O44" s="210"/>
      <c r="P44" s="245"/>
      <c r="Q44" s="182"/>
      <c r="R44" s="182"/>
      <c r="S44" s="238"/>
      <c r="T44" s="245"/>
      <c r="U44" s="182"/>
      <c r="V44" s="287">
        <f t="shared" si="9"/>
        <v>0</v>
      </c>
      <c r="AA44" s="311"/>
      <c r="AB44" s="311"/>
      <c r="AC44"/>
    </row>
    <row r="45" spans="1:29" s="49" customFormat="1" x14ac:dyDescent="0.25">
      <c r="A45" s="338"/>
      <c r="B45" s="329"/>
      <c r="C45" s="50"/>
      <c r="D45" s="46"/>
      <c r="E45" s="46"/>
      <c r="F45" s="47"/>
      <c r="G45" s="48"/>
      <c r="H45" s="166"/>
      <c r="I45" s="128"/>
      <c r="J45" s="128"/>
      <c r="K45" s="257"/>
      <c r="L45" s="166"/>
      <c r="M45" s="167"/>
      <c r="N45" s="167"/>
      <c r="O45" s="204"/>
      <c r="P45" s="166"/>
      <c r="Q45" s="167"/>
      <c r="R45" s="167"/>
      <c r="S45" s="204"/>
      <c r="T45" s="166"/>
      <c r="U45" s="167"/>
      <c r="V45" s="287">
        <f t="shared" si="9"/>
        <v>0</v>
      </c>
      <c r="AA45"/>
      <c r="AB45" s="311"/>
      <c r="AC45"/>
    </row>
    <row r="46" spans="1:29" s="49" customFormat="1" x14ac:dyDescent="0.25">
      <c r="A46" s="338"/>
      <c r="B46" s="329" t="s">
        <v>17</v>
      </c>
      <c r="C46" s="46"/>
      <c r="D46" s="51"/>
      <c r="E46" s="52"/>
      <c r="F46" s="47"/>
      <c r="G46" s="53">
        <f>SUM(G36:G45)</f>
        <v>6274000</v>
      </c>
      <c r="H46" s="183">
        <f>SUM(H36:H45)</f>
        <v>0</v>
      </c>
      <c r="I46" s="370"/>
      <c r="J46" s="370"/>
      <c r="K46" s="263">
        <f t="shared" ref="K46:U46" si="11">SUM(K36:K45)</f>
        <v>0</v>
      </c>
      <c r="L46" s="183">
        <f t="shared" si="11"/>
        <v>684250</v>
      </c>
      <c r="M46" s="184">
        <f t="shared" si="11"/>
        <v>1368500</v>
      </c>
      <c r="N46" s="184">
        <f t="shared" si="11"/>
        <v>684250</v>
      </c>
      <c r="O46" s="211">
        <f t="shared" si="11"/>
        <v>120000</v>
      </c>
      <c r="P46" s="183">
        <f t="shared" si="11"/>
        <v>320000</v>
      </c>
      <c r="Q46" s="184">
        <f t="shared" si="11"/>
        <v>1044250</v>
      </c>
      <c r="R46" s="184">
        <f t="shared" si="11"/>
        <v>1368500</v>
      </c>
      <c r="S46" s="211">
        <f t="shared" si="11"/>
        <v>684250</v>
      </c>
      <c r="T46" s="183">
        <f t="shared" si="11"/>
        <v>0</v>
      </c>
      <c r="U46" s="184">
        <f t="shared" si="11"/>
        <v>0</v>
      </c>
      <c r="V46" s="287">
        <f t="shared" si="9"/>
        <v>6274000</v>
      </c>
      <c r="AA46" s="311"/>
      <c r="AB46" s="311"/>
      <c r="AC46"/>
    </row>
    <row r="47" spans="1:29" s="60" customFormat="1" x14ac:dyDescent="0.25">
      <c r="A47" s="337"/>
      <c r="B47" s="55"/>
      <c r="C47" s="55"/>
      <c r="D47" s="56"/>
      <c r="E47" s="55"/>
      <c r="F47" s="57"/>
      <c r="G47" s="53"/>
      <c r="H47" s="185"/>
      <c r="I47" s="371"/>
      <c r="J47" s="371"/>
      <c r="K47" s="59"/>
      <c r="L47" s="185"/>
      <c r="M47" s="58"/>
      <c r="N47" s="58"/>
      <c r="O47" s="212"/>
      <c r="P47" s="185"/>
      <c r="Q47" s="58"/>
      <c r="R47" s="58"/>
      <c r="S47" s="212"/>
      <c r="T47" s="185"/>
      <c r="U47" s="58"/>
      <c r="V47" s="287">
        <f t="shared" si="9"/>
        <v>0</v>
      </c>
      <c r="AA47"/>
      <c r="AB47" s="311"/>
      <c r="AC47"/>
    </row>
    <row r="48" spans="1:29" s="63" customFormat="1" x14ac:dyDescent="0.25">
      <c r="A48" s="338"/>
      <c r="B48" s="18" t="s">
        <v>18</v>
      </c>
      <c r="C48" s="61"/>
      <c r="D48" s="61"/>
      <c r="E48" s="61"/>
      <c r="F48" s="62"/>
      <c r="G48" s="48"/>
      <c r="H48" s="166"/>
      <c r="I48" s="128"/>
      <c r="J48" s="128"/>
      <c r="K48" s="257"/>
      <c r="L48" s="166"/>
      <c r="M48" s="167"/>
      <c r="N48" s="167"/>
      <c r="O48" s="204"/>
      <c r="P48" s="166"/>
      <c r="Q48" s="167"/>
      <c r="R48" s="167"/>
      <c r="S48" s="204"/>
      <c r="T48" s="166"/>
      <c r="U48" s="167"/>
      <c r="V48" s="287">
        <f t="shared" si="9"/>
        <v>0</v>
      </c>
    </row>
    <row r="49" spans="1:26" s="83" customFormat="1" x14ac:dyDescent="0.25">
      <c r="A49" s="338"/>
      <c r="B49" s="18"/>
      <c r="C49" s="61" t="s">
        <v>32</v>
      </c>
      <c r="D49" s="321"/>
      <c r="E49" s="61"/>
      <c r="F49" s="62"/>
      <c r="G49" s="34">
        <f>0.17*G46</f>
        <v>1066580</v>
      </c>
      <c r="H49" s="166">
        <f>SUM(H46*0.15)</f>
        <v>0</v>
      </c>
      <c r="I49" s="128">
        <f>0.15*G49</f>
        <v>159987</v>
      </c>
      <c r="J49" s="128">
        <f>0.9*I49</f>
        <v>143988.30000000002</v>
      </c>
      <c r="K49" s="128">
        <f t="shared" ref="K49:R49" si="12">0.9*J49</f>
        <v>129589.47000000002</v>
      </c>
      <c r="L49" s="128">
        <f t="shared" si="12"/>
        <v>116630.52300000002</v>
      </c>
      <c r="M49" s="128">
        <f t="shared" si="12"/>
        <v>104967.47070000002</v>
      </c>
      <c r="N49" s="128">
        <f t="shared" si="12"/>
        <v>94470.723630000022</v>
      </c>
      <c r="O49" s="128">
        <f t="shared" si="12"/>
        <v>85023.651267000023</v>
      </c>
      <c r="P49" s="128">
        <f t="shared" si="12"/>
        <v>76521.286140300028</v>
      </c>
      <c r="Q49" s="128">
        <f t="shared" si="12"/>
        <v>68869.157526270021</v>
      </c>
      <c r="R49" s="128">
        <f t="shared" si="12"/>
        <v>61982.241773643022</v>
      </c>
      <c r="S49" s="128">
        <v>24550</v>
      </c>
      <c r="T49" s="128"/>
      <c r="U49" s="167"/>
      <c r="V49" s="287">
        <f t="shared" si="9"/>
        <v>1066579.8240372133</v>
      </c>
    </row>
    <row r="50" spans="1:26" s="2" customFormat="1" x14ac:dyDescent="0.25">
      <c r="A50" s="337"/>
      <c r="B50" s="18"/>
      <c r="C50" s="42" t="s">
        <v>64</v>
      </c>
      <c r="D50" s="104"/>
      <c r="E50" s="42"/>
      <c r="F50" s="43"/>
      <c r="G50" s="34">
        <f>SUM(H50:U50)</f>
        <v>260000</v>
      </c>
      <c r="H50" s="185"/>
      <c r="I50" s="185">
        <v>20000</v>
      </c>
      <c r="J50" s="185">
        <v>20000</v>
      </c>
      <c r="K50" s="185">
        <v>20000</v>
      </c>
      <c r="L50" s="185">
        <v>20000</v>
      </c>
      <c r="M50" s="185">
        <v>20000</v>
      </c>
      <c r="N50" s="185">
        <v>20000</v>
      </c>
      <c r="O50" s="185">
        <v>20000</v>
      </c>
      <c r="P50" s="185">
        <v>20000</v>
      </c>
      <c r="Q50" s="185">
        <v>20000</v>
      </c>
      <c r="R50" s="185">
        <v>20000</v>
      </c>
      <c r="S50" s="185">
        <v>20000</v>
      </c>
      <c r="T50" s="185">
        <v>20000</v>
      </c>
      <c r="U50" s="185">
        <v>20000</v>
      </c>
      <c r="V50" s="287">
        <f t="shared" si="9"/>
        <v>260000</v>
      </c>
    </row>
    <row r="51" spans="1:26" s="2" customFormat="1" x14ac:dyDescent="0.25">
      <c r="A51" s="337"/>
      <c r="B51" s="18"/>
      <c r="C51" s="133"/>
      <c r="D51" s="328"/>
      <c r="E51" s="42"/>
      <c r="F51" s="43"/>
      <c r="G51" s="34"/>
      <c r="H51" s="154"/>
      <c r="I51" s="366">
        <f>0.6/4*H69</f>
        <v>0</v>
      </c>
      <c r="J51" s="366"/>
      <c r="K51" s="366"/>
      <c r="L51" s="366"/>
      <c r="M51" s="366"/>
      <c r="N51" s="366"/>
      <c r="O51" s="366"/>
      <c r="P51" s="366"/>
      <c r="Q51" s="366"/>
      <c r="R51" s="366"/>
      <c r="S51" s="366"/>
      <c r="T51" s="366">
        <f t="shared" ref="T51" si="13">0.08/4*S70</f>
        <v>0</v>
      </c>
      <c r="U51" s="366">
        <f t="shared" ref="U51" si="14">0.06/4*T69</f>
        <v>0</v>
      </c>
      <c r="V51" s="287">
        <f t="shared" si="9"/>
        <v>0</v>
      </c>
    </row>
    <row r="52" spans="1:26" s="2" customFormat="1" x14ac:dyDescent="0.25">
      <c r="A52" s="337"/>
      <c r="B52" s="42"/>
      <c r="C52" s="133" t="s">
        <v>20</v>
      </c>
      <c r="D52" s="103"/>
      <c r="E52" s="102"/>
      <c r="F52" s="43"/>
      <c r="G52" s="34">
        <f>SUM(H52:U52)</f>
        <v>60000</v>
      </c>
      <c r="H52" s="154"/>
      <c r="I52" s="366"/>
      <c r="J52" s="366"/>
      <c r="K52" s="22"/>
      <c r="L52" s="154"/>
      <c r="M52" s="21"/>
      <c r="N52" s="21">
        <v>30000</v>
      </c>
      <c r="O52" s="199"/>
      <c r="P52" s="154"/>
      <c r="Q52" s="316"/>
      <c r="R52" s="21">
        <v>30000</v>
      </c>
      <c r="S52" s="199"/>
      <c r="T52" s="154"/>
      <c r="U52" s="316"/>
      <c r="V52" s="287">
        <f t="shared" si="9"/>
        <v>60000</v>
      </c>
    </row>
    <row r="53" spans="1:26" s="2" customFormat="1" x14ac:dyDescent="0.25">
      <c r="A53" s="337"/>
      <c r="B53" s="42"/>
      <c r="C53" s="359" t="s">
        <v>72</v>
      </c>
      <c r="D53" s="103"/>
      <c r="E53" s="102"/>
      <c r="F53" s="43"/>
      <c r="G53" s="34">
        <v>410000</v>
      </c>
      <c r="H53" s="154"/>
      <c r="I53" s="366">
        <v>410000</v>
      </c>
      <c r="J53" s="366"/>
      <c r="K53" s="22"/>
      <c r="L53" s="154"/>
      <c r="M53" s="21"/>
      <c r="N53" s="21"/>
      <c r="O53" s="199"/>
      <c r="P53" s="154"/>
      <c r="Q53" s="316"/>
      <c r="R53" s="21"/>
      <c r="S53" s="199"/>
      <c r="T53" s="154"/>
      <c r="U53" s="316"/>
      <c r="V53" s="287">
        <f t="shared" si="9"/>
        <v>410000</v>
      </c>
    </row>
    <row r="54" spans="1:26" x14ac:dyDescent="0.25">
      <c r="A54" s="337"/>
      <c r="B54" s="66"/>
      <c r="C54" s="27"/>
      <c r="D54" s="65"/>
      <c r="E54" s="27"/>
      <c r="F54" s="29"/>
      <c r="G54" s="24"/>
      <c r="H54" s="154"/>
      <c r="I54" s="366"/>
      <c r="J54" s="366"/>
      <c r="K54" s="22"/>
      <c r="L54" s="154"/>
      <c r="M54" s="21"/>
      <c r="N54" s="21"/>
      <c r="O54" s="199"/>
      <c r="P54" s="154"/>
      <c r="Q54" s="21"/>
      <c r="R54" s="21"/>
      <c r="S54" s="199"/>
      <c r="T54" s="154"/>
      <c r="U54" s="21"/>
      <c r="V54" s="287">
        <f t="shared" si="9"/>
        <v>0</v>
      </c>
      <c r="W54"/>
      <c r="X54"/>
      <c r="Y54"/>
      <c r="Z54"/>
    </row>
    <row r="55" spans="1:26" s="39" customFormat="1" x14ac:dyDescent="0.25">
      <c r="A55" s="337"/>
      <c r="B55" s="66" t="s">
        <v>21</v>
      </c>
      <c r="C55" s="66"/>
      <c r="D55" s="66"/>
      <c r="E55" s="66"/>
      <c r="F55" s="67"/>
      <c r="G55" s="53">
        <f>SUM(G49:G54)</f>
        <v>1796580</v>
      </c>
      <c r="H55" s="53">
        <f t="shared" ref="H55:U55" si="15">SUM(H49:H54)</f>
        <v>0</v>
      </c>
      <c r="I55" s="53">
        <f t="shared" si="15"/>
        <v>589987</v>
      </c>
      <c r="J55" s="53">
        <f t="shared" si="15"/>
        <v>163988.30000000002</v>
      </c>
      <c r="K55" s="53">
        <f t="shared" si="15"/>
        <v>149589.47000000003</v>
      </c>
      <c r="L55" s="53">
        <f t="shared" si="15"/>
        <v>136630.52300000002</v>
      </c>
      <c r="M55" s="53">
        <f t="shared" si="15"/>
        <v>124967.47070000002</v>
      </c>
      <c r="N55" s="53">
        <f t="shared" si="15"/>
        <v>144470.72363000002</v>
      </c>
      <c r="O55" s="53">
        <f t="shared" si="15"/>
        <v>105023.65126700002</v>
      </c>
      <c r="P55" s="53">
        <f t="shared" si="15"/>
        <v>96521.286140300028</v>
      </c>
      <c r="Q55" s="53">
        <f t="shared" si="15"/>
        <v>88869.157526270021</v>
      </c>
      <c r="R55" s="53">
        <f t="shared" si="15"/>
        <v>111982.24177364302</v>
      </c>
      <c r="S55" s="53">
        <f t="shared" si="15"/>
        <v>44550</v>
      </c>
      <c r="T55" s="53">
        <f t="shared" si="15"/>
        <v>20000</v>
      </c>
      <c r="U55" s="53">
        <f t="shared" si="15"/>
        <v>20000</v>
      </c>
      <c r="V55" s="287">
        <f t="shared" si="9"/>
        <v>1796579.8240372131</v>
      </c>
    </row>
    <row r="56" spans="1:26" x14ac:dyDescent="0.25">
      <c r="A56" s="337"/>
      <c r="B56" s="35"/>
      <c r="C56" s="35"/>
      <c r="D56" s="35"/>
      <c r="E56" s="27"/>
      <c r="F56" s="29"/>
      <c r="G56" s="24"/>
      <c r="H56" s="154"/>
      <c r="I56" s="366"/>
      <c r="J56" s="366"/>
      <c r="K56" s="22"/>
      <c r="L56" s="154"/>
      <c r="M56" s="21"/>
      <c r="N56" s="21"/>
      <c r="O56" s="199"/>
      <c r="P56" s="154"/>
      <c r="Q56" s="21"/>
      <c r="R56" s="21"/>
      <c r="S56" s="199"/>
      <c r="T56" s="154"/>
      <c r="U56" s="21"/>
      <c r="V56" s="287">
        <f t="shared" si="9"/>
        <v>0</v>
      </c>
      <c r="W56"/>
      <c r="X56"/>
      <c r="Y56"/>
      <c r="Z56"/>
    </row>
    <row r="57" spans="1:26" s="96" customFormat="1" x14ac:dyDescent="0.25">
      <c r="A57" s="338"/>
      <c r="B57" s="18" t="s">
        <v>22</v>
      </c>
      <c r="C57" s="18"/>
      <c r="D57" s="61"/>
      <c r="E57" s="61"/>
      <c r="F57" s="62"/>
      <c r="G57" s="117">
        <v>3500000</v>
      </c>
      <c r="H57" s="186"/>
      <c r="I57" s="372"/>
      <c r="J57" s="372"/>
      <c r="K57" s="264"/>
      <c r="L57" s="186"/>
      <c r="M57" s="187"/>
      <c r="N57" s="187"/>
      <c r="O57" s="213"/>
      <c r="P57" s="186"/>
      <c r="Q57" s="187"/>
      <c r="R57" s="187"/>
      <c r="S57" s="213"/>
      <c r="T57" s="186"/>
      <c r="U57" s="187"/>
      <c r="V57" s="287">
        <f t="shared" si="9"/>
        <v>0</v>
      </c>
    </row>
    <row r="58" spans="1:26" hidden="1" x14ac:dyDescent="0.25">
      <c r="A58" s="337"/>
      <c r="B58" s="66" t="s">
        <v>55</v>
      </c>
      <c r="C58" s="27"/>
      <c r="D58" s="35"/>
      <c r="E58" s="27"/>
      <c r="F58" s="29"/>
      <c r="G58" s="117"/>
      <c r="H58" s="154"/>
      <c r="I58" s="366"/>
      <c r="J58" s="366"/>
      <c r="K58" s="22"/>
      <c r="L58" s="309">
        <f>G58/18</f>
        <v>0</v>
      </c>
      <c r="M58" s="308">
        <f t="shared" ref="M58:U58" si="16">L58</f>
        <v>0</v>
      </c>
      <c r="N58" s="308">
        <f t="shared" si="16"/>
        <v>0</v>
      </c>
      <c r="O58" s="314">
        <f t="shared" si="16"/>
        <v>0</v>
      </c>
      <c r="P58" s="317">
        <f t="shared" si="16"/>
        <v>0</v>
      </c>
      <c r="Q58" s="305">
        <f t="shared" si="16"/>
        <v>0</v>
      </c>
      <c r="R58" s="307">
        <f t="shared" si="16"/>
        <v>0</v>
      </c>
      <c r="S58" s="318">
        <f t="shared" si="16"/>
        <v>0</v>
      </c>
      <c r="T58" s="306">
        <f t="shared" si="16"/>
        <v>0</v>
      </c>
      <c r="U58" s="304">
        <f t="shared" si="16"/>
        <v>0</v>
      </c>
      <c r="V58" s="287">
        <f t="shared" si="9"/>
        <v>0</v>
      </c>
      <c r="W58"/>
      <c r="X58"/>
      <c r="Y58"/>
      <c r="Z58"/>
    </row>
    <row r="59" spans="1:26" s="39" customFormat="1" x14ac:dyDescent="0.25">
      <c r="A59" s="337"/>
      <c r="B59" s="18" t="s">
        <v>23</v>
      </c>
      <c r="C59" s="18"/>
      <c r="D59" s="18"/>
      <c r="E59" s="18"/>
      <c r="F59" s="19"/>
      <c r="G59" s="38">
        <f>G46+G55+G57</f>
        <v>11570580</v>
      </c>
      <c r="H59" s="38">
        <f t="shared" ref="H59:U59" si="17">H46+H55+H57</f>
        <v>0</v>
      </c>
      <c r="I59" s="38">
        <f t="shared" si="17"/>
        <v>589987</v>
      </c>
      <c r="J59" s="38">
        <f t="shared" si="17"/>
        <v>163988.30000000002</v>
      </c>
      <c r="K59" s="38">
        <f t="shared" si="17"/>
        <v>149589.47000000003</v>
      </c>
      <c r="L59" s="38">
        <f t="shared" si="17"/>
        <v>820880.52300000004</v>
      </c>
      <c r="M59" s="38">
        <f t="shared" si="17"/>
        <v>1493467.4706999999</v>
      </c>
      <c r="N59" s="38">
        <f t="shared" si="17"/>
        <v>828720.72363000002</v>
      </c>
      <c r="O59" s="38">
        <f t="shared" si="17"/>
        <v>225023.65126700001</v>
      </c>
      <c r="P59" s="38">
        <f t="shared" si="17"/>
        <v>416521.28614030004</v>
      </c>
      <c r="Q59" s="38">
        <f t="shared" si="17"/>
        <v>1133119.15752627</v>
      </c>
      <c r="R59" s="38">
        <f t="shared" si="17"/>
        <v>1480482.2417736431</v>
      </c>
      <c r="S59" s="38">
        <f t="shared" si="17"/>
        <v>728800</v>
      </c>
      <c r="T59" s="38">
        <f t="shared" si="17"/>
        <v>20000</v>
      </c>
      <c r="U59" s="38">
        <f t="shared" si="17"/>
        <v>20000</v>
      </c>
      <c r="V59" s="287">
        <f>SUM(H59:U59)+G57</f>
        <v>11570579.824037213</v>
      </c>
    </row>
    <row r="60" spans="1:26" ht="13.8" thickBot="1" x14ac:dyDescent="0.3">
      <c r="A60" s="343"/>
      <c r="B60" s="344"/>
      <c r="C60" s="344"/>
      <c r="D60" s="345"/>
      <c r="E60" s="344"/>
      <c r="F60" s="346"/>
      <c r="G60" s="347"/>
      <c r="H60" s="348"/>
      <c r="I60" s="373"/>
      <c r="J60" s="373"/>
      <c r="K60" s="349"/>
      <c r="L60" s="348"/>
      <c r="M60" s="350"/>
      <c r="N60" s="350"/>
      <c r="O60" s="351"/>
      <c r="P60" s="348"/>
      <c r="Q60" s="350"/>
      <c r="R60" s="350"/>
      <c r="S60" s="351"/>
      <c r="T60" s="348"/>
      <c r="U60" s="350"/>
      <c r="V60" s="287">
        <f>SUM(H60:U60)</f>
        <v>0</v>
      </c>
      <c r="W60"/>
      <c r="X60"/>
      <c r="Y60"/>
      <c r="Z60"/>
    </row>
    <row r="61" spans="1:26" s="39" customFormat="1" x14ac:dyDescent="0.25">
      <c r="A61" s="336"/>
      <c r="B61" s="352" t="s">
        <v>24</v>
      </c>
      <c r="C61" s="352"/>
      <c r="D61" s="352"/>
      <c r="E61" s="352"/>
      <c r="F61" s="353"/>
      <c r="G61" s="354"/>
      <c r="H61" s="355"/>
      <c r="I61" s="374"/>
      <c r="J61" s="374"/>
      <c r="K61" s="356"/>
      <c r="L61" s="355"/>
      <c r="M61" s="357"/>
      <c r="N61" s="357"/>
      <c r="O61" s="358"/>
      <c r="P61" s="355"/>
      <c r="Q61" s="357"/>
      <c r="R61" s="357"/>
      <c r="S61" s="358"/>
      <c r="T61" s="355"/>
      <c r="U61" s="357"/>
      <c r="V61" s="287">
        <f>SUM(H61:U61)</f>
        <v>0</v>
      </c>
    </row>
    <row r="62" spans="1:26" s="288" customFormat="1" x14ac:dyDescent="0.25">
      <c r="A62" s="340"/>
      <c r="B62" s="98"/>
      <c r="C62" s="98" t="s">
        <v>25</v>
      </c>
      <c r="D62" s="98"/>
      <c r="E62" s="98"/>
      <c r="F62" s="110"/>
      <c r="G62" s="112">
        <f>G31-G59</f>
        <v>7061811.1255032718</v>
      </c>
      <c r="H62" s="112">
        <f t="shared" ref="H62:U62" si="18">H31-H59</f>
        <v>0</v>
      </c>
      <c r="I62" s="112">
        <f t="shared" si="18"/>
        <v>-589987</v>
      </c>
      <c r="J62" s="112">
        <f t="shared" si="18"/>
        <v>-163988.30000000002</v>
      </c>
      <c r="K62" s="112">
        <f t="shared" si="18"/>
        <v>4713310.53</v>
      </c>
      <c r="L62" s="112">
        <f t="shared" si="18"/>
        <v>-820880.52300000004</v>
      </c>
      <c r="M62" s="112">
        <f t="shared" si="18"/>
        <v>-1493467.4706999999</v>
      </c>
      <c r="N62" s="112">
        <f t="shared" si="18"/>
        <v>3774294.2763700001</v>
      </c>
      <c r="O62" s="112">
        <f t="shared" si="18"/>
        <v>-225023.65126700001</v>
      </c>
      <c r="P62" s="112">
        <f t="shared" si="18"/>
        <v>3046378.7138597001</v>
      </c>
      <c r="Q62" s="112">
        <f t="shared" si="18"/>
        <v>-1133119.15752627</v>
      </c>
      <c r="R62" s="112">
        <f t="shared" si="18"/>
        <v>3423093.8837296315</v>
      </c>
      <c r="S62" s="112">
        <f t="shared" si="18"/>
        <v>-728800</v>
      </c>
      <c r="T62" s="112">
        <f t="shared" si="18"/>
        <v>-20000</v>
      </c>
      <c r="U62" s="112">
        <f t="shared" si="18"/>
        <v>780000</v>
      </c>
      <c r="V62" s="287">
        <f>SUM(H62:U62)-G57</f>
        <v>7061811.3014660627</v>
      </c>
    </row>
    <row r="63" spans="1:26" s="298" customFormat="1" ht="13.8" thickBot="1" x14ac:dyDescent="0.3">
      <c r="A63" s="341"/>
      <c r="B63" s="70"/>
      <c r="C63" s="70"/>
      <c r="D63" s="71"/>
      <c r="E63" s="70"/>
      <c r="F63" s="72"/>
      <c r="G63" s="300"/>
      <c r="H63" s="191"/>
      <c r="I63" s="375"/>
      <c r="J63" s="375"/>
      <c r="K63" s="74"/>
      <c r="L63" s="191"/>
      <c r="M63" s="73"/>
      <c r="N63" s="73"/>
      <c r="O63" s="221"/>
      <c r="P63" s="191"/>
      <c r="Q63" s="73"/>
      <c r="R63" s="73"/>
      <c r="S63" s="221"/>
      <c r="T63" s="191"/>
      <c r="U63" s="73"/>
      <c r="V63" s="299">
        <f>SUM(H63:U63)</f>
        <v>0</v>
      </c>
    </row>
    <row r="64" spans="1:26" s="298" customFormat="1" x14ac:dyDescent="0.25">
      <c r="A64" s="336"/>
      <c r="B64" s="289"/>
      <c r="C64" s="289"/>
      <c r="D64" s="290"/>
      <c r="E64" s="289"/>
      <c r="F64" s="291"/>
      <c r="G64" s="292"/>
      <c r="H64" s="293"/>
      <c r="I64" s="376"/>
      <c r="J64" s="376"/>
      <c r="K64" s="294"/>
      <c r="L64" s="296"/>
      <c r="M64" s="297"/>
      <c r="N64" s="297"/>
      <c r="O64" s="295"/>
      <c r="P64" s="296"/>
      <c r="Q64" s="297"/>
      <c r="R64" s="297"/>
      <c r="S64" s="295"/>
      <c r="T64" s="296"/>
      <c r="U64" s="297"/>
      <c r="V64" s="287">
        <f>SUM(H64:U64)</f>
        <v>0</v>
      </c>
    </row>
    <row r="65" spans="1:25" s="298" customFormat="1" x14ac:dyDescent="0.25">
      <c r="A65" s="380"/>
      <c r="B65" s="289"/>
      <c r="C65" s="289"/>
      <c r="D65" s="290"/>
      <c r="E65" s="289"/>
      <c r="F65" s="291"/>
      <c r="G65" s="292"/>
      <c r="H65" s="293"/>
      <c r="I65" s="376"/>
      <c r="J65" s="376"/>
      <c r="K65" s="294"/>
      <c r="L65" s="296"/>
      <c r="M65" s="297"/>
      <c r="N65" s="297"/>
      <c r="O65" s="295"/>
      <c r="P65" s="296"/>
      <c r="Q65" s="297"/>
      <c r="R65" s="297"/>
      <c r="S65" s="295"/>
      <c r="T65" s="296"/>
      <c r="U65" s="297"/>
      <c r="V65" s="287"/>
    </row>
    <row r="66" spans="1:25" s="7" customFormat="1" x14ac:dyDescent="0.25">
      <c r="A66" s="337"/>
      <c r="B66" s="18" t="s">
        <v>26</v>
      </c>
      <c r="C66" s="18"/>
      <c r="D66" s="18"/>
      <c r="E66" s="18"/>
      <c r="F66" s="19"/>
      <c r="G66" s="38"/>
      <c r="H66" s="216"/>
      <c r="I66" s="371"/>
      <c r="J66" s="371"/>
      <c r="K66" s="59"/>
      <c r="L66" s="185"/>
      <c r="M66" s="58"/>
      <c r="N66" s="58"/>
      <c r="O66" s="212"/>
      <c r="P66" s="185"/>
      <c r="Q66" s="58"/>
      <c r="R66" s="58"/>
      <c r="S66" s="212"/>
      <c r="T66" s="185"/>
      <c r="U66" s="58"/>
      <c r="V66" s="287">
        <f>SUM(H66:U66)</f>
        <v>0</v>
      </c>
    </row>
    <row r="67" spans="1:25" s="7" customFormat="1" x14ac:dyDescent="0.25">
      <c r="A67" s="337"/>
      <c r="B67" s="18" t="s">
        <v>67</v>
      </c>
      <c r="C67" s="18"/>
      <c r="D67" s="18"/>
      <c r="E67" s="18"/>
      <c r="F67" s="19"/>
      <c r="G67" s="38"/>
      <c r="H67" s="216"/>
      <c r="I67" s="371">
        <f>1000000-I55</f>
        <v>410013</v>
      </c>
      <c r="J67" s="371">
        <f>I67-J55</f>
        <v>246024.69999999998</v>
      </c>
      <c r="K67" s="371">
        <f>J67-K55+H49+I49+J49+K49+0.25*K68+4000*E37</f>
        <v>1006000</v>
      </c>
      <c r="L67" s="371">
        <f>K67-L55+L49-350000</f>
        <v>636000</v>
      </c>
      <c r="M67" s="371">
        <f>L67-M55+M49</f>
        <v>616000</v>
      </c>
      <c r="N67" s="371">
        <f>M67-N55+N49-459000</f>
        <v>107000</v>
      </c>
      <c r="O67" s="371">
        <f t="shared" ref="O67" si="19">N67-O55+O49</f>
        <v>87000</v>
      </c>
      <c r="P67" s="371">
        <f>O67-P55+P49+4000*E38</f>
        <v>543000</v>
      </c>
      <c r="Q67" s="371">
        <f>P67-Q55+Q49+R26-1300000</f>
        <v>4126576.1255032746</v>
      </c>
      <c r="R67" s="371">
        <f t="shared" ref="R67:U67" si="20">Q67-R55+R49+S26</f>
        <v>4076576.1255032746</v>
      </c>
      <c r="S67" s="371">
        <f t="shared" si="20"/>
        <v>4056576.1255032746</v>
      </c>
      <c r="T67" s="371">
        <f t="shared" si="20"/>
        <v>4036576.1255032746</v>
      </c>
      <c r="U67" s="371">
        <f t="shared" si="20"/>
        <v>4016576.1255032746</v>
      </c>
      <c r="V67" s="287"/>
    </row>
    <row r="68" spans="1:25" s="7" customFormat="1" x14ac:dyDescent="0.25">
      <c r="A68" s="337"/>
      <c r="B68" s="18" t="s">
        <v>41</v>
      </c>
      <c r="C68" s="18"/>
      <c r="D68" s="18"/>
      <c r="E68" s="18"/>
      <c r="F68" s="19"/>
      <c r="G68" s="38"/>
      <c r="H68" s="216"/>
      <c r="I68" s="371"/>
      <c r="J68" s="371"/>
      <c r="K68" s="59"/>
      <c r="L68" s="185">
        <v>500000</v>
      </c>
      <c r="M68" s="58"/>
      <c r="N68" s="58"/>
      <c r="O68" s="58"/>
      <c r="P68" s="58"/>
      <c r="Q68" s="58"/>
      <c r="R68" s="58"/>
      <c r="S68" s="58"/>
      <c r="T68" s="58"/>
      <c r="U68" s="58"/>
      <c r="V68" s="287"/>
    </row>
    <row r="69" spans="1:25" s="7" customFormat="1" x14ac:dyDescent="0.25">
      <c r="A69" s="337"/>
      <c r="B69" s="136" t="s">
        <v>27</v>
      </c>
      <c r="C69" s="136"/>
      <c r="D69" s="136"/>
      <c r="E69" s="18"/>
      <c r="F69" s="19"/>
      <c r="G69" s="38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287"/>
    </row>
    <row r="70" spans="1:25" s="7" customFormat="1" x14ac:dyDescent="0.25">
      <c r="A70" s="337"/>
      <c r="B70" s="136" t="s">
        <v>75</v>
      </c>
      <c r="C70" s="136"/>
      <c r="D70" s="136"/>
      <c r="E70" s="18"/>
      <c r="F70" s="19"/>
      <c r="G70" s="38"/>
      <c r="H70" s="216"/>
      <c r="I70" s="371">
        <v>4500000</v>
      </c>
      <c r="J70" s="371">
        <f>I70-J72</f>
        <v>4500000</v>
      </c>
      <c r="K70" s="371">
        <f t="shared" ref="K70:N70" si="21">J70-K72</f>
        <v>4500000</v>
      </c>
      <c r="L70" s="371">
        <v>4500000</v>
      </c>
      <c r="M70" s="371">
        <f t="shared" si="21"/>
        <v>4500000</v>
      </c>
      <c r="N70" s="371">
        <f t="shared" si="21"/>
        <v>-562015</v>
      </c>
      <c r="O70" s="371"/>
      <c r="P70" s="371"/>
      <c r="Q70" s="371"/>
      <c r="R70" s="371"/>
      <c r="S70" s="371"/>
      <c r="T70" s="371"/>
      <c r="U70" s="371"/>
      <c r="V70" s="287"/>
    </row>
    <row r="71" spans="1:25" s="7" customFormat="1" x14ac:dyDescent="0.25">
      <c r="A71" s="337"/>
      <c r="B71" s="18" t="s">
        <v>73</v>
      </c>
      <c r="C71" s="18"/>
      <c r="D71" s="18"/>
      <c r="E71" s="18"/>
      <c r="F71" s="19"/>
      <c r="G71" s="38"/>
      <c r="H71" s="216"/>
      <c r="I71" s="371"/>
      <c r="J71" s="371"/>
      <c r="K71" s="59"/>
      <c r="L71" s="185">
        <v>1350000</v>
      </c>
      <c r="M71" s="58"/>
      <c r="N71" s="58">
        <v>562500</v>
      </c>
      <c r="O71" s="58"/>
      <c r="P71" s="185"/>
      <c r="Q71" s="58"/>
      <c r="R71" s="58"/>
      <c r="S71" s="58"/>
      <c r="T71" s="58"/>
      <c r="U71" s="58"/>
      <c r="V71" s="287">
        <f>SUM(H71:U71)</f>
        <v>1912500</v>
      </c>
    </row>
    <row r="72" spans="1:25" s="301" customFormat="1" x14ac:dyDescent="0.25">
      <c r="A72" s="340"/>
      <c r="B72" s="84"/>
      <c r="C72" s="84" t="s">
        <v>76</v>
      </c>
      <c r="D72" s="87"/>
      <c r="E72" s="84"/>
      <c r="F72" s="88"/>
      <c r="G72" s="99">
        <f>SUM(H72:U72)</f>
        <v>6412015</v>
      </c>
      <c r="H72" s="190"/>
      <c r="I72" s="377"/>
      <c r="J72" s="377"/>
      <c r="K72" s="132"/>
      <c r="L72" s="190">
        <v>1350000</v>
      </c>
      <c r="M72" s="89"/>
      <c r="N72" s="89">
        <f>N26-L73+459000</f>
        <v>5062015</v>
      </c>
      <c r="O72" s="89">
        <f t="shared" ref="O72" si="22">O26</f>
        <v>0</v>
      </c>
      <c r="P72" s="89"/>
      <c r="Q72" s="89"/>
      <c r="R72" s="89"/>
      <c r="S72" s="89"/>
      <c r="T72" s="89"/>
      <c r="U72" s="89"/>
      <c r="V72" s="287">
        <f>SUM(H72:U72)</f>
        <v>6412015</v>
      </c>
    </row>
    <row r="73" spans="1:25" s="7" customFormat="1" x14ac:dyDescent="0.25">
      <c r="A73" s="337"/>
      <c r="B73" s="127" t="s">
        <v>74</v>
      </c>
      <c r="C73"/>
      <c r="D73" s="64"/>
      <c r="E73"/>
      <c r="F73"/>
      <c r="G73" s="77"/>
      <c r="H73" s="15"/>
      <c r="I73" s="15"/>
      <c r="J73" s="15"/>
      <c r="K73" s="15"/>
      <c r="L73" s="15"/>
      <c r="M73" s="15"/>
      <c r="N73" s="15">
        <f>0</f>
        <v>0</v>
      </c>
      <c r="O73" s="15"/>
      <c r="P73" s="15"/>
      <c r="Q73" s="15"/>
      <c r="R73" s="15"/>
      <c r="S73" s="15"/>
      <c r="T73" s="15"/>
      <c r="U73" s="15"/>
      <c r="V73" s="15"/>
    </row>
    <row r="74" spans="1:25" s="2" customFormat="1" x14ac:dyDescent="0.25">
      <c r="A74" s="337"/>
      <c r="B74"/>
      <c r="C74"/>
      <c r="D74" s="64"/>
      <c r="E74"/>
      <c r="F74"/>
      <c r="G74" s="77"/>
      <c r="H74" s="78"/>
      <c r="I74" s="78"/>
      <c r="J74" s="78"/>
      <c r="K74" s="78"/>
      <c r="L74" s="78"/>
      <c r="M74" s="5"/>
      <c r="N74" s="5"/>
      <c r="O74" s="5"/>
      <c r="P74" s="5"/>
      <c r="Q74" s="5"/>
      <c r="R74" s="5"/>
      <c r="S74" s="5"/>
      <c r="T74" s="5"/>
      <c r="U74" s="5"/>
      <c r="V74" s="5"/>
    </row>
    <row r="75" spans="1:25" s="2" customFormat="1" ht="13.8" thickBot="1" x14ac:dyDescent="0.3">
      <c r="A75" s="342"/>
      <c r="B75"/>
      <c r="C75"/>
      <c r="D75" s="64"/>
      <c r="E75"/>
      <c r="F75"/>
      <c r="G75" s="77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</row>
    <row r="76" spans="1:25" ht="13.8" thickTop="1" x14ac:dyDescent="0.25">
      <c r="B76" s="79"/>
      <c r="C76" s="80"/>
      <c r="D76" s="80"/>
      <c r="E76" s="80"/>
      <c r="F76" s="80"/>
      <c r="G76" s="32"/>
      <c r="H76" s="31"/>
      <c r="I76" s="31"/>
      <c r="J76" s="31"/>
      <c r="K76" s="31"/>
      <c r="L76" s="31"/>
      <c r="M76" s="32"/>
      <c r="N76" s="31"/>
      <c r="O76" s="32"/>
      <c r="P76" s="32"/>
      <c r="Q76" s="32"/>
      <c r="R76" s="31"/>
      <c r="S76" s="32"/>
      <c r="T76" s="32"/>
      <c r="U76" s="32"/>
      <c r="V76" s="31"/>
      <c r="W76" s="15"/>
      <c r="X76" s="15"/>
      <c r="Y76" s="15"/>
    </row>
    <row r="77" spans="1:25" x14ac:dyDescent="0.25">
      <c r="C77" s="81"/>
      <c r="D77" s="80"/>
      <c r="L77" s="320"/>
      <c r="R77" s="32"/>
      <c r="S77" s="32"/>
      <c r="T77" s="32"/>
      <c r="U77" s="32"/>
      <c r="V77" s="32"/>
    </row>
    <row r="78" spans="1:25" x14ac:dyDescent="0.25">
      <c r="C78" s="82"/>
      <c r="D78" s="80"/>
      <c r="R78" s="32"/>
      <c r="S78" s="32"/>
      <c r="T78" s="32"/>
      <c r="U78" s="32"/>
      <c r="V78" s="32"/>
      <c r="W78" s="25"/>
      <c r="X78" s="25"/>
      <c r="Y78" s="25"/>
    </row>
    <row r="79" spans="1:25" x14ac:dyDescent="0.25">
      <c r="C79" s="82"/>
      <c r="K79" s="320"/>
      <c r="R79" s="32"/>
      <c r="S79" s="32"/>
      <c r="T79" s="32"/>
      <c r="U79" s="32"/>
      <c r="V79" s="32"/>
      <c r="W79" s="31"/>
      <c r="X79" s="32"/>
      <c r="Y79" s="32"/>
    </row>
    <row r="80" spans="1:25" x14ac:dyDescent="0.25">
      <c r="W80" s="32"/>
      <c r="X80" s="32"/>
      <c r="Y80" s="32"/>
    </row>
    <row r="81" spans="1:36" x14ac:dyDescent="0.25">
      <c r="B81" s="79"/>
      <c r="H81" s="32"/>
      <c r="I81" s="32"/>
      <c r="J81" s="32"/>
      <c r="K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</row>
    <row r="82" spans="1:36" s="6" customFormat="1" x14ac:dyDescent="0.25">
      <c r="A82" s="335"/>
      <c r="B82"/>
      <c r="C82"/>
      <c r="D82" s="64"/>
      <c r="E82"/>
      <c r="F82"/>
      <c r="G82" s="77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32"/>
      <c r="X82" s="32"/>
      <c r="Y82" s="32"/>
      <c r="AA82"/>
      <c r="AB82"/>
      <c r="AC82"/>
      <c r="AD82"/>
      <c r="AE82"/>
      <c r="AF82"/>
      <c r="AG82"/>
      <c r="AH82"/>
      <c r="AI82"/>
      <c r="AJ82"/>
    </row>
    <row r="83" spans="1:36" x14ac:dyDescent="0.25">
      <c r="T83" s="283"/>
    </row>
    <row r="84" spans="1:36" s="6" customFormat="1" x14ac:dyDescent="0.25">
      <c r="A84" s="335"/>
      <c r="B84"/>
      <c r="C84"/>
      <c r="D84" s="64"/>
      <c r="E84"/>
      <c r="F84"/>
      <c r="G84" s="113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32"/>
      <c r="X84" s="32"/>
      <c r="Y84" s="32"/>
      <c r="AA84"/>
      <c r="AB84"/>
      <c r="AC84"/>
      <c r="AD84"/>
      <c r="AE84"/>
      <c r="AF84"/>
      <c r="AG84"/>
      <c r="AH84"/>
      <c r="AI84"/>
      <c r="AJ84"/>
    </row>
    <row r="87" spans="1:36" s="6" customFormat="1" x14ac:dyDescent="0.25">
      <c r="A87" s="335"/>
      <c r="B87"/>
      <c r="C87" s="282"/>
      <c r="D87" s="64"/>
      <c r="E87"/>
      <c r="F87"/>
      <c r="G87" s="77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15"/>
      <c r="X87" s="15"/>
      <c r="Y87" s="15"/>
      <c r="AA87"/>
      <c r="AB87"/>
      <c r="AC87"/>
      <c r="AD87"/>
      <c r="AE87"/>
      <c r="AF87"/>
      <c r="AG87"/>
      <c r="AH87"/>
      <c r="AI87"/>
      <c r="AJ87"/>
    </row>
    <row r="88" spans="1:36" x14ac:dyDescent="0.25">
      <c r="C88" s="282"/>
    </row>
    <row r="89" spans="1:36" x14ac:dyDescent="0.25">
      <c r="C89" s="282"/>
    </row>
    <row r="90" spans="1:36" s="6" customFormat="1" x14ac:dyDescent="0.25">
      <c r="A90" s="335"/>
      <c r="B90"/>
      <c r="C90"/>
      <c r="D90" s="64"/>
      <c r="E90"/>
      <c r="F90"/>
      <c r="G90" s="77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AA90"/>
      <c r="AB90"/>
      <c r="AC90"/>
      <c r="AD90"/>
      <c r="AE90"/>
      <c r="AF90"/>
      <c r="AG90"/>
      <c r="AH90"/>
      <c r="AI90"/>
      <c r="AJ90"/>
    </row>
    <row r="91" spans="1:36" s="6" customFormat="1" x14ac:dyDescent="0.25">
      <c r="A91" s="335"/>
      <c r="B91"/>
      <c r="C91"/>
      <c r="D91" s="64"/>
      <c r="E91"/>
      <c r="F91"/>
      <c r="G91" s="77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AA91"/>
      <c r="AB91"/>
      <c r="AC91"/>
      <c r="AD91"/>
      <c r="AE91"/>
      <c r="AF91"/>
      <c r="AG91"/>
      <c r="AH91"/>
      <c r="AI91"/>
      <c r="AJ91"/>
    </row>
    <row r="92" spans="1:36" s="6" customFormat="1" x14ac:dyDescent="0.25">
      <c r="A92" s="335"/>
      <c r="B92"/>
      <c r="C92"/>
      <c r="D92" s="64"/>
      <c r="E92"/>
      <c r="F92"/>
      <c r="G92" s="77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AA92"/>
      <c r="AB92"/>
      <c r="AC92"/>
      <c r="AD92"/>
      <c r="AE92"/>
      <c r="AF92"/>
      <c r="AG92"/>
      <c r="AH92"/>
      <c r="AI92"/>
      <c r="AJ92"/>
    </row>
    <row r="94" spans="1:36" x14ac:dyDescent="0.25">
      <c r="P94" s="282"/>
    </row>
    <row r="95" spans="1:36" s="6" customFormat="1" x14ac:dyDescent="0.25">
      <c r="A95" s="335"/>
      <c r="B95"/>
      <c r="C95"/>
      <c r="D95" s="64"/>
      <c r="E95"/>
      <c r="F95"/>
      <c r="G95" s="77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AA95"/>
      <c r="AB95"/>
      <c r="AC95"/>
      <c r="AD95"/>
      <c r="AE95"/>
      <c r="AF95"/>
      <c r="AG95"/>
      <c r="AH95"/>
      <c r="AI95"/>
      <c r="AJ95"/>
    </row>
    <row r="96" spans="1:36" s="6" customFormat="1" x14ac:dyDescent="0.25">
      <c r="A96" s="335"/>
      <c r="B96"/>
      <c r="C96"/>
      <c r="D96" s="64"/>
      <c r="E96"/>
      <c r="F96"/>
      <c r="G96" s="77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AA96"/>
      <c r="AB96"/>
      <c r="AC96"/>
      <c r="AD96"/>
      <c r="AE96"/>
      <c r="AF96"/>
      <c r="AG96"/>
      <c r="AH96"/>
      <c r="AI96"/>
      <c r="AJ96"/>
    </row>
    <row r="97" spans="1:36" s="6" customFormat="1" x14ac:dyDescent="0.25">
      <c r="A97" s="335"/>
      <c r="B97"/>
      <c r="C97"/>
      <c r="D97" s="64"/>
      <c r="E97"/>
      <c r="F97"/>
      <c r="G97" s="77"/>
      <c r="H97" s="5"/>
      <c r="I97" s="5"/>
      <c r="J97" s="5"/>
      <c r="K97" s="5"/>
      <c r="L97" s="5"/>
      <c r="M97" s="5"/>
      <c r="N97" s="5">
        <f>366/18</f>
        <v>20.333333333333332</v>
      </c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AA97"/>
      <c r="AB97"/>
      <c r="AC97"/>
      <c r="AD97"/>
      <c r="AE97"/>
      <c r="AF97"/>
      <c r="AG97"/>
      <c r="AH97"/>
      <c r="AI97"/>
      <c r="AJ97"/>
    </row>
    <row r="100" spans="1:36" x14ac:dyDescent="0.25">
      <c r="R100" s="5">
        <f>336/16</f>
        <v>21</v>
      </c>
    </row>
  </sheetData>
  <mergeCells count="8">
    <mergeCell ref="P7:S7"/>
    <mergeCell ref="T7:X7"/>
    <mergeCell ref="H6:Y6"/>
    <mergeCell ref="A6:A8"/>
    <mergeCell ref="B6:F8"/>
    <mergeCell ref="G6:G8"/>
    <mergeCell ref="L7:O7"/>
    <mergeCell ref="H7:K7"/>
  </mergeCells>
  <pageMargins left="0.25" right="0.16" top="1" bottom="1" header="0.5" footer="0.5"/>
  <pageSetup paperSize="3" scale="7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86"/>
  <sheetViews>
    <sheetView zoomScale="80" zoomScaleNormal="80" workbookViewId="0">
      <pane xSplit="7" ySplit="4" topLeftCell="H7" activePane="bottomRight" state="frozen"/>
      <selection pane="topRight" activeCell="H1" sqref="H1"/>
      <selection pane="bottomLeft" activeCell="A5" sqref="A5"/>
      <selection pane="bottomRight" activeCell="D31" sqref="D31:E31"/>
    </sheetView>
  </sheetViews>
  <sheetFormatPr defaultRowHeight="13.2" outlineLevelCol="1" x14ac:dyDescent="0.25"/>
  <cols>
    <col min="1" max="1" width="1.109375" style="142" customWidth="1"/>
    <col min="2" max="2" width="2.5546875" customWidth="1"/>
    <col min="3" max="3" width="25.88671875" customWidth="1"/>
    <col min="4" max="4" width="8.6640625" style="64" customWidth="1"/>
    <col min="5" max="5" width="4.44140625" customWidth="1"/>
    <col min="6" max="6" width="2.6640625" customWidth="1"/>
    <col min="7" max="7" width="15.5546875" style="77" customWidth="1"/>
    <col min="8" max="8" width="12.33203125" style="5" customWidth="1" outlineLevel="1"/>
    <col min="9" max="9" width="11.6640625" style="5" customWidth="1" outlineLevel="1"/>
    <col min="10" max="19" width="12.33203125" style="5" customWidth="1" outlineLevel="1"/>
    <col min="20" max="20" width="12.5546875" style="5" customWidth="1" outlineLevel="1"/>
    <col min="21" max="21" width="12.44140625" style="5" customWidth="1" outlineLevel="1"/>
    <col min="22" max="23" width="12.33203125" style="5" customWidth="1" outlineLevel="1"/>
    <col min="24" max="24" width="13.44140625" style="5" customWidth="1"/>
    <col min="25" max="28" width="13.44140625" style="5" customWidth="1" outlineLevel="1"/>
    <col min="29" max="30" width="12.33203125" style="5" customWidth="1" outlineLevel="1"/>
    <col min="31" max="31" width="12.109375" style="5" customWidth="1" outlineLevel="1"/>
    <col min="32" max="32" width="18.109375" style="6" customWidth="1" outlineLevel="1"/>
    <col min="33" max="33" width="9.109375" customWidth="1" outlineLevel="1"/>
  </cols>
  <sheetData>
    <row r="1" spans="2:32" ht="15" customHeight="1" x14ac:dyDescent="0.25">
      <c r="B1" s="1"/>
      <c r="C1" s="7" t="s">
        <v>45</v>
      </c>
      <c r="D1" s="3"/>
      <c r="F1" s="2"/>
      <c r="G1" s="4"/>
      <c r="H1" s="85"/>
      <c r="I1" s="85"/>
      <c r="J1" s="85"/>
      <c r="K1" s="86"/>
      <c r="L1" s="86"/>
      <c r="M1" s="85"/>
      <c r="N1" s="85"/>
      <c r="O1" s="85"/>
    </row>
    <row r="2" spans="2:32" ht="16.2" thickBot="1" x14ac:dyDescent="0.35">
      <c r="B2" s="116"/>
      <c r="C2" s="7"/>
      <c r="D2" s="3"/>
      <c r="E2" s="8"/>
      <c r="F2" s="2"/>
      <c r="G2" s="9"/>
      <c r="H2" s="144"/>
      <c r="I2" s="144"/>
      <c r="J2" s="144"/>
      <c r="K2" s="145"/>
      <c r="L2" s="145"/>
      <c r="M2" s="144"/>
      <c r="N2" s="144"/>
      <c r="O2" s="144"/>
    </row>
    <row r="3" spans="2:32" ht="13.8" thickBot="1" x14ac:dyDescent="0.3">
      <c r="B3" s="7"/>
      <c r="C3" s="7" t="s">
        <v>0</v>
      </c>
      <c r="D3" s="3"/>
      <c r="E3" s="2"/>
      <c r="G3" s="408"/>
      <c r="H3" s="406">
        <v>2015</v>
      </c>
      <c r="I3" s="406"/>
      <c r="J3" s="406"/>
      <c r="K3" s="407"/>
      <c r="L3" s="405">
        <v>2016</v>
      </c>
      <c r="M3" s="406"/>
      <c r="N3" s="406"/>
      <c r="O3" s="407"/>
      <c r="P3" s="405">
        <v>2017</v>
      </c>
      <c r="Q3" s="406"/>
      <c r="R3" s="406"/>
      <c r="S3" s="407"/>
      <c r="T3" s="405">
        <v>2018</v>
      </c>
      <c r="U3" s="406"/>
      <c r="V3" s="406"/>
      <c r="W3" s="407"/>
      <c r="X3" s="405">
        <v>2019</v>
      </c>
      <c r="Y3" s="406"/>
      <c r="Z3" s="406"/>
      <c r="AA3" s="407"/>
      <c r="AB3" s="405">
        <v>2020</v>
      </c>
      <c r="AC3" s="406"/>
      <c r="AD3" s="406"/>
      <c r="AE3" s="407"/>
      <c r="AF3" s="6" t="s">
        <v>1</v>
      </c>
    </row>
    <row r="4" spans="2:32" ht="13.8" thickBot="1" x14ac:dyDescent="0.3">
      <c r="B4" s="2"/>
      <c r="C4" s="141" t="s">
        <v>53</v>
      </c>
      <c r="D4" s="3"/>
      <c r="E4" s="2"/>
      <c r="G4" s="402"/>
      <c r="H4" s="196">
        <v>42064</v>
      </c>
      <c r="I4" s="197">
        <v>42161</v>
      </c>
      <c r="J4" s="197">
        <f>+I4+90</f>
        <v>42251</v>
      </c>
      <c r="K4" s="197">
        <f>+J4+93</f>
        <v>42344</v>
      </c>
      <c r="L4" s="192">
        <f>+K4+90</f>
        <v>42434</v>
      </c>
      <c r="M4" s="192">
        <f>+L4+92</f>
        <v>42526</v>
      </c>
      <c r="N4" s="192">
        <f>+M4+92</f>
        <v>42618</v>
      </c>
      <c r="O4" s="192">
        <f>+N4+90</f>
        <v>42708</v>
      </c>
      <c r="P4" s="193">
        <f>+O4+90</f>
        <v>42798</v>
      </c>
      <c r="Q4" s="192">
        <f>+P4+92</f>
        <v>42890</v>
      </c>
      <c r="R4" s="192">
        <f>+Q4+92</f>
        <v>42982</v>
      </c>
      <c r="S4" s="192">
        <f>+R4+92</f>
        <v>43074</v>
      </c>
      <c r="T4" s="192">
        <f>+S4+90</f>
        <v>43164</v>
      </c>
      <c r="U4" s="192">
        <f>+T4+92</f>
        <v>43256</v>
      </c>
      <c r="V4" s="192">
        <f>+U4+92</f>
        <v>43348</v>
      </c>
      <c r="W4" s="192">
        <f>+V4+92</f>
        <v>43440</v>
      </c>
      <c r="X4" s="192">
        <f>+W4+90</f>
        <v>43530</v>
      </c>
      <c r="Y4" s="192">
        <f>+X4+92</f>
        <v>43622</v>
      </c>
      <c r="Z4" s="192">
        <f>+Y4+92</f>
        <v>43714</v>
      </c>
      <c r="AA4" s="252">
        <f>+Z4+92</f>
        <v>43806</v>
      </c>
      <c r="AB4" s="266">
        <f>+AA4+90</f>
        <v>43896</v>
      </c>
      <c r="AC4" s="192">
        <f>+AB4+92</f>
        <v>43988</v>
      </c>
      <c r="AD4" s="192">
        <f>+AC4+92</f>
        <v>44080</v>
      </c>
      <c r="AE4" s="248">
        <f>+AD4+92</f>
        <v>44172</v>
      </c>
      <c r="AF4"/>
    </row>
    <row r="5" spans="2:32" x14ac:dyDescent="0.25">
      <c r="B5" s="10"/>
      <c r="C5" s="11"/>
      <c r="D5" s="12"/>
      <c r="E5" s="11"/>
      <c r="F5" s="13"/>
      <c r="G5" s="14"/>
      <c r="H5" s="194"/>
      <c r="I5" s="195"/>
      <c r="J5" s="195"/>
      <c r="K5" s="198"/>
      <c r="L5" s="194"/>
      <c r="M5" s="195"/>
      <c r="N5" s="195"/>
      <c r="O5" s="198"/>
      <c r="P5" s="194"/>
      <c r="Q5" s="195"/>
      <c r="R5" s="195"/>
      <c r="S5" s="198"/>
      <c r="T5" s="222"/>
      <c r="U5" s="195"/>
      <c r="V5" s="195"/>
      <c r="W5" s="198"/>
      <c r="X5" s="222"/>
      <c r="Y5" s="195"/>
      <c r="Z5" s="195"/>
      <c r="AA5" s="253"/>
      <c r="AB5" s="194"/>
      <c r="AC5" s="195"/>
      <c r="AD5" s="195"/>
      <c r="AE5" s="267"/>
      <c r="AF5"/>
    </row>
    <row r="6" spans="2:32" x14ac:dyDescent="0.25">
      <c r="B6" s="16" t="s">
        <v>2</v>
      </c>
      <c r="C6" s="17"/>
      <c r="D6" s="17"/>
      <c r="E6" s="18"/>
      <c r="F6" s="19"/>
      <c r="G6" s="20"/>
      <c r="H6" s="154"/>
      <c r="I6" s="21"/>
      <c r="J6" s="21"/>
      <c r="K6" s="199"/>
      <c r="L6" s="154"/>
      <c r="M6" s="21"/>
      <c r="N6" s="21"/>
      <c r="O6" s="199"/>
      <c r="P6" s="154"/>
      <c r="Q6" s="21"/>
      <c r="R6" s="21"/>
      <c r="S6" s="199"/>
      <c r="T6" s="149"/>
      <c r="U6" s="21"/>
      <c r="V6" s="21"/>
      <c r="W6" s="199"/>
      <c r="X6" s="149"/>
      <c r="Y6" s="21"/>
      <c r="Z6" s="21"/>
      <c r="AA6" s="22"/>
      <c r="AB6" s="154"/>
      <c r="AC6" s="21"/>
      <c r="AD6" s="21"/>
      <c r="AE6" s="268"/>
      <c r="AF6"/>
    </row>
    <row r="7" spans="2:32" x14ac:dyDescent="0.25">
      <c r="B7" s="23"/>
      <c r="C7" s="18"/>
      <c r="D7" s="18"/>
      <c r="E7" s="18"/>
      <c r="F7" s="19"/>
      <c r="G7" s="24"/>
      <c r="H7" s="154"/>
      <c r="I7" s="21"/>
      <c r="J7" s="21"/>
      <c r="K7" s="199"/>
      <c r="L7" s="154"/>
      <c r="M7" s="21"/>
      <c r="N7" s="21"/>
      <c r="O7" s="199"/>
      <c r="P7" s="154"/>
      <c r="Q7" s="21"/>
      <c r="R7" s="21"/>
      <c r="S7" s="199"/>
      <c r="T7" s="149"/>
      <c r="U7" s="21"/>
      <c r="V7" s="21"/>
      <c r="W7" s="199"/>
      <c r="X7" s="149"/>
      <c r="Y7" s="21"/>
      <c r="Z7" s="21"/>
      <c r="AA7" s="22"/>
      <c r="AB7" s="154"/>
      <c r="AC7" s="21"/>
      <c r="AD7" s="21"/>
      <c r="AE7" s="269"/>
      <c r="AF7"/>
    </row>
    <row r="8" spans="2:32" hidden="1" x14ac:dyDescent="0.25">
      <c r="B8" s="26"/>
      <c r="C8" s="27" t="s">
        <v>3</v>
      </c>
      <c r="D8" s="28" t="s">
        <v>4</v>
      </c>
      <c r="E8" s="27"/>
      <c r="F8" s="29"/>
      <c r="G8" s="30" t="e">
        <v>#REF!</v>
      </c>
      <c r="H8" s="155"/>
      <c r="I8" s="156"/>
      <c r="J8" s="156"/>
      <c r="K8" s="200" t="e">
        <v>#REF!</v>
      </c>
      <c r="L8" s="155" t="e">
        <v>#REF!</v>
      </c>
      <c r="M8" s="156" t="e">
        <v>#REF!</v>
      </c>
      <c r="N8" s="156" t="e">
        <v>#REF!</v>
      </c>
      <c r="O8" s="200" t="e">
        <v>#REF!</v>
      </c>
      <c r="P8" s="155" t="e">
        <v>#REF!</v>
      </c>
      <c r="Q8" s="156" t="e">
        <v>#REF!</v>
      </c>
      <c r="R8" s="156" t="e">
        <v>#REF!</v>
      </c>
      <c r="S8" s="200" t="e">
        <v>#REF!</v>
      </c>
      <c r="T8" s="223" t="e">
        <v>#REF!</v>
      </c>
      <c r="U8" s="156" t="e">
        <v>#REF!</v>
      </c>
      <c r="V8" s="156" t="e">
        <v>#REF!</v>
      </c>
      <c r="W8" s="200" t="e">
        <v>#REF!</v>
      </c>
      <c r="X8" s="223"/>
      <c r="Y8" s="156"/>
      <c r="Z8" s="156"/>
      <c r="AA8" s="254"/>
      <c r="AB8" s="155"/>
      <c r="AC8" s="156"/>
      <c r="AD8" s="156"/>
      <c r="AE8" s="270"/>
      <c r="AF8"/>
    </row>
    <row r="9" spans="2:32" hidden="1" x14ac:dyDescent="0.25">
      <c r="B9" s="33"/>
      <c r="C9" s="27" t="s">
        <v>5</v>
      </c>
      <c r="D9" s="28" t="s">
        <v>4</v>
      </c>
      <c r="E9" s="27"/>
      <c r="F9" s="29"/>
      <c r="G9" s="20" t="e">
        <v>#REF!</v>
      </c>
      <c r="H9" s="154"/>
      <c r="I9" s="21"/>
      <c r="J9" s="21"/>
      <c r="K9" s="199" t="e">
        <v>#REF!</v>
      </c>
      <c r="L9" s="154" t="e">
        <v>#REF!</v>
      </c>
      <c r="M9" s="21" t="e">
        <v>#REF!</v>
      </c>
      <c r="N9" s="21" t="e">
        <v>#REF!</v>
      </c>
      <c r="O9" s="199" t="e">
        <v>#REF!</v>
      </c>
      <c r="P9" s="154" t="e">
        <v>#REF!</v>
      </c>
      <c r="Q9" s="21" t="e">
        <v>#REF!</v>
      </c>
      <c r="R9" s="21" t="e">
        <v>#REF!</v>
      </c>
      <c r="S9" s="199" t="e">
        <v>#REF!</v>
      </c>
      <c r="T9" s="149" t="e">
        <v>#REF!</v>
      </c>
      <c r="U9" s="21" t="e">
        <v>#REF!</v>
      </c>
      <c r="V9" s="21" t="e">
        <v>#REF!</v>
      </c>
      <c r="W9" s="199" t="e">
        <v>#REF!</v>
      </c>
      <c r="X9" s="149"/>
      <c r="Y9" s="21"/>
      <c r="Z9" s="21"/>
      <c r="AA9" s="22"/>
      <c r="AB9" s="154"/>
      <c r="AC9" s="21"/>
      <c r="AD9" s="21"/>
      <c r="AE9" s="270"/>
      <c r="AF9"/>
    </row>
    <row r="10" spans="2:32" hidden="1" x14ac:dyDescent="0.25">
      <c r="B10" s="33"/>
      <c r="C10" s="27"/>
      <c r="D10" s="28" t="s">
        <v>4</v>
      </c>
      <c r="E10" s="27"/>
      <c r="F10" s="29"/>
      <c r="G10" s="20"/>
      <c r="H10" s="154"/>
      <c r="I10" s="21"/>
      <c r="J10" s="21"/>
      <c r="K10" s="199"/>
      <c r="L10" s="154"/>
      <c r="M10" s="21"/>
      <c r="N10" s="21"/>
      <c r="O10" s="199"/>
      <c r="P10" s="154"/>
      <c r="Q10" s="21"/>
      <c r="R10" s="21"/>
      <c r="S10" s="199"/>
      <c r="T10" s="149"/>
      <c r="U10" s="21"/>
      <c r="V10" s="21"/>
      <c r="W10" s="199"/>
      <c r="X10" s="149"/>
      <c r="Y10" s="21"/>
      <c r="Z10" s="21"/>
      <c r="AA10" s="22"/>
      <c r="AB10" s="154"/>
      <c r="AC10" s="21"/>
      <c r="AD10" s="21"/>
      <c r="AE10" s="270"/>
      <c r="AF10"/>
    </row>
    <row r="11" spans="2:32" hidden="1" x14ac:dyDescent="0.25">
      <c r="B11" s="33"/>
      <c r="C11" s="27" t="s">
        <v>6</v>
      </c>
      <c r="D11" s="28" t="s">
        <v>4</v>
      </c>
      <c r="E11" s="27"/>
      <c r="F11" s="29"/>
      <c r="G11" s="30" t="e">
        <v>#REF!</v>
      </c>
      <c r="H11" s="155"/>
      <c r="I11" s="156"/>
      <c r="J11" s="156"/>
      <c r="K11" s="200" t="e">
        <v>#REF!</v>
      </c>
      <c r="L11" s="155" t="e">
        <v>#REF!</v>
      </c>
      <c r="M11" s="156" t="e">
        <v>#REF!</v>
      </c>
      <c r="N11" s="156" t="e">
        <v>#REF!</v>
      </c>
      <c r="O11" s="200" t="e">
        <v>#REF!</v>
      </c>
      <c r="P11" s="155" t="e">
        <v>#REF!</v>
      </c>
      <c r="Q11" s="156" t="e">
        <v>#REF!</v>
      </c>
      <c r="R11" s="156" t="e">
        <v>#REF!</v>
      </c>
      <c r="S11" s="200" t="e">
        <v>#REF!</v>
      </c>
      <c r="T11" s="223" t="e">
        <v>#REF!</v>
      </c>
      <c r="U11" s="156" t="e">
        <v>#REF!</v>
      </c>
      <c r="V11" s="156" t="e">
        <v>#REF!</v>
      </c>
      <c r="W11" s="200" t="e">
        <v>#REF!</v>
      </c>
      <c r="X11" s="223"/>
      <c r="Y11" s="156"/>
      <c r="Z11" s="156"/>
      <c r="AA11" s="254"/>
      <c r="AB11" s="155"/>
      <c r="AC11" s="156"/>
      <c r="AD11" s="156"/>
      <c r="AE11" s="270"/>
      <c r="AF11"/>
    </row>
    <row r="12" spans="2:32" hidden="1" x14ac:dyDescent="0.25">
      <c r="B12" s="33"/>
      <c r="C12" s="27" t="s">
        <v>7</v>
      </c>
      <c r="D12" s="28" t="s">
        <v>4</v>
      </c>
      <c r="E12" s="27"/>
      <c r="F12" s="29"/>
      <c r="G12" s="20" t="e">
        <v>#REF!</v>
      </c>
      <c r="H12" s="154"/>
      <c r="I12" s="21"/>
      <c r="J12" s="21"/>
      <c r="K12" s="199" t="e">
        <v>#REF!</v>
      </c>
      <c r="L12" s="154" t="e">
        <v>#REF!</v>
      </c>
      <c r="M12" s="21" t="e">
        <v>#REF!</v>
      </c>
      <c r="N12" s="21" t="e">
        <v>#REF!</v>
      </c>
      <c r="O12" s="199" t="e">
        <v>#REF!</v>
      </c>
      <c r="P12" s="154" t="e">
        <v>#REF!</v>
      </c>
      <c r="Q12" s="21" t="e">
        <v>#REF!</v>
      </c>
      <c r="R12" s="21" t="e">
        <v>#REF!</v>
      </c>
      <c r="S12" s="199" t="e">
        <v>#REF!</v>
      </c>
      <c r="T12" s="149" t="e">
        <v>#REF!</v>
      </c>
      <c r="U12" s="21" t="e">
        <v>#REF!</v>
      </c>
      <c r="V12" s="21" t="e">
        <v>#REF!</v>
      </c>
      <c r="W12" s="199" t="e">
        <v>#REF!</v>
      </c>
      <c r="X12" s="149"/>
      <c r="Y12" s="21"/>
      <c r="Z12" s="21"/>
      <c r="AA12" s="22"/>
      <c r="AB12" s="154"/>
      <c r="AC12" s="21"/>
      <c r="AD12" s="21"/>
      <c r="AE12" s="271"/>
      <c r="AF12"/>
    </row>
    <row r="13" spans="2:32" hidden="1" x14ac:dyDescent="0.25">
      <c r="B13" s="33"/>
      <c r="C13" s="27"/>
      <c r="D13" s="28" t="s">
        <v>4</v>
      </c>
      <c r="E13" s="27"/>
      <c r="F13" s="29"/>
      <c r="G13" s="20"/>
      <c r="H13" s="154"/>
      <c r="I13" s="21"/>
      <c r="J13" s="21"/>
      <c r="K13" s="199"/>
      <c r="L13" s="154"/>
      <c r="M13" s="21"/>
      <c r="N13" s="21"/>
      <c r="O13" s="199"/>
      <c r="P13" s="154"/>
      <c r="Q13" s="21"/>
      <c r="R13" s="21"/>
      <c r="S13" s="199"/>
      <c r="T13" s="149"/>
      <c r="U13" s="21"/>
      <c r="V13" s="21"/>
      <c r="W13" s="199"/>
      <c r="X13" s="149"/>
      <c r="Y13" s="21"/>
      <c r="Z13" s="21"/>
      <c r="AA13" s="22"/>
      <c r="AB13" s="154"/>
      <c r="AC13" s="21"/>
      <c r="AD13" s="21"/>
      <c r="AE13" s="270"/>
      <c r="AF13"/>
    </row>
    <row r="14" spans="2:32" hidden="1" x14ac:dyDescent="0.25">
      <c r="B14" s="33"/>
      <c r="C14" s="27" t="s">
        <v>8</v>
      </c>
      <c r="D14" s="28" t="s">
        <v>4</v>
      </c>
      <c r="E14" s="27"/>
      <c r="F14" s="29"/>
      <c r="G14" s="30" t="e">
        <v>#REF!</v>
      </c>
      <c r="H14" s="155"/>
      <c r="I14" s="156"/>
      <c r="J14" s="156"/>
      <c r="K14" s="200" t="e">
        <v>#REF!</v>
      </c>
      <c r="L14" s="155" t="e">
        <v>#REF!</v>
      </c>
      <c r="M14" s="156" t="e">
        <v>#REF!</v>
      </c>
      <c r="N14" s="156" t="e">
        <v>#REF!</v>
      </c>
      <c r="O14" s="200" t="e">
        <v>#REF!</v>
      </c>
      <c r="P14" s="155" t="e">
        <v>#REF!</v>
      </c>
      <c r="Q14" s="156" t="e">
        <v>#REF!</v>
      </c>
      <c r="R14" s="156" t="e">
        <v>#REF!</v>
      </c>
      <c r="S14" s="200" t="e">
        <v>#REF!</v>
      </c>
      <c r="T14" s="223" t="e">
        <v>#REF!</v>
      </c>
      <c r="U14" s="156" t="e">
        <v>#REF!</v>
      </c>
      <c r="V14" s="156" t="e">
        <v>#REF!</v>
      </c>
      <c r="W14" s="200" t="e">
        <v>#REF!</v>
      </c>
      <c r="X14" s="223"/>
      <c r="Y14" s="156"/>
      <c r="Z14" s="156"/>
      <c r="AA14" s="254"/>
      <c r="AB14" s="155"/>
      <c r="AC14" s="156"/>
      <c r="AD14" s="156"/>
      <c r="AE14" s="268"/>
      <c r="AF14"/>
    </row>
    <row r="15" spans="2:32" hidden="1" x14ac:dyDescent="0.25">
      <c r="B15" s="33"/>
      <c r="C15" s="27" t="s">
        <v>9</v>
      </c>
      <c r="D15" s="28" t="s">
        <v>4</v>
      </c>
      <c r="E15" s="27"/>
      <c r="F15" s="29"/>
      <c r="G15" s="20" t="e">
        <v>#REF!</v>
      </c>
      <c r="H15" s="154"/>
      <c r="I15" s="21"/>
      <c r="J15" s="21"/>
      <c r="K15" s="199" t="e">
        <v>#REF!</v>
      </c>
      <c r="L15" s="154" t="e">
        <v>#REF!</v>
      </c>
      <c r="M15" s="21" t="e">
        <v>#REF!</v>
      </c>
      <c r="N15" s="21" t="e">
        <v>#REF!</v>
      </c>
      <c r="O15" s="199" t="e">
        <v>#REF!</v>
      </c>
      <c r="P15" s="154" t="e">
        <v>#REF!</v>
      </c>
      <c r="Q15" s="21" t="e">
        <v>#REF!</v>
      </c>
      <c r="R15" s="21" t="e">
        <v>#REF!</v>
      </c>
      <c r="S15" s="199" t="e">
        <v>#REF!</v>
      </c>
      <c r="T15" s="149" t="e">
        <v>#REF!</v>
      </c>
      <c r="U15" s="21" t="e">
        <v>#REF!</v>
      </c>
      <c r="V15" s="21" t="e">
        <v>#REF!</v>
      </c>
      <c r="W15" s="199" t="e">
        <v>#REF!</v>
      </c>
      <c r="X15" s="149"/>
      <c r="Y15" s="21"/>
      <c r="Z15" s="21"/>
      <c r="AA15" s="22"/>
      <c r="AB15" s="154"/>
      <c r="AC15" s="21"/>
      <c r="AD15" s="21"/>
      <c r="AE15" s="268"/>
      <c r="AF15"/>
    </row>
    <row r="16" spans="2:32" x14ac:dyDescent="0.25">
      <c r="B16" s="33"/>
      <c r="C16" s="35" t="s">
        <v>39</v>
      </c>
      <c r="D16" s="131" t="s">
        <v>54</v>
      </c>
      <c r="E16" s="27"/>
      <c r="F16" s="29"/>
      <c r="G16" s="20">
        <v>66000</v>
      </c>
      <c r="H16" s="154"/>
      <c r="I16" s="21"/>
      <c r="J16" s="21"/>
      <c r="K16" s="199"/>
      <c r="L16" s="154">
        <v>66000</v>
      </c>
      <c r="M16" s="21">
        <f>L16+0.06*L16/4</f>
        <v>66990</v>
      </c>
      <c r="N16" s="21">
        <f t="shared" ref="N16:W16" si="0">M16+0.06*M16/4</f>
        <v>67994.850000000006</v>
      </c>
      <c r="O16" s="199">
        <f t="shared" si="0"/>
        <v>69014.772750000004</v>
      </c>
      <c r="P16" s="154">
        <f t="shared" si="0"/>
        <v>70049.99434125</v>
      </c>
      <c r="Q16" s="21">
        <f t="shared" si="0"/>
        <v>71100.744256368751</v>
      </c>
      <c r="R16" s="21">
        <f t="shared" si="0"/>
        <v>72167.255420214278</v>
      </c>
      <c r="S16" s="199">
        <f t="shared" si="0"/>
        <v>73249.764251517496</v>
      </c>
      <c r="T16" s="149">
        <f t="shared" si="0"/>
        <v>74348.510715290264</v>
      </c>
      <c r="U16" s="21">
        <f t="shared" si="0"/>
        <v>75463.738376019624</v>
      </c>
      <c r="V16" s="21">
        <f t="shared" si="0"/>
        <v>76595.694451659918</v>
      </c>
      <c r="W16" s="199">
        <f t="shared" si="0"/>
        <v>77744.629868434815</v>
      </c>
      <c r="X16" s="149">
        <f t="shared" ref="X16" si="1">W16+0.06*W16/4</f>
        <v>78910.799316461344</v>
      </c>
      <c r="Y16" s="21">
        <f t="shared" ref="Y16" si="2">X16+0.06*X16/4</f>
        <v>80094.461306208264</v>
      </c>
      <c r="Z16" s="21">
        <f t="shared" ref="Z16" si="3">Y16+0.06*Y16/4</f>
        <v>81295.878225801382</v>
      </c>
      <c r="AA16" s="22">
        <f t="shared" ref="AA16" si="4">Z16+0.06*Z16/4</f>
        <v>82515.316399188407</v>
      </c>
      <c r="AB16" s="154">
        <f t="shared" ref="AB16" si="5">AA16+0.06*AA16/4</f>
        <v>83753.046145176238</v>
      </c>
      <c r="AC16" s="21">
        <f t="shared" ref="AC16" si="6">AB16+0.06*AB16/4</f>
        <v>85009.341837353888</v>
      </c>
      <c r="AD16" s="21">
        <f t="shared" ref="AD16" si="7">AC16+0.06*AC16/4</f>
        <v>86284.481964914201</v>
      </c>
      <c r="AE16" s="268"/>
      <c r="AF16"/>
    </row>
    <row r="17" spans="1:32" hidden="1" x14ac:dyDescent="0.25">
      <c r="B17" s="33"/>
      <c r="C17" s="35" t="s">
        <v>39</v>
      </c>
      <c r="D17" s="131" t="s">
        <v>46</v>
      </c>
      <c r="E17" s="27"/>
      <c r="F17" s="29"/>
      <c r="G17" s="20"/>
      <c r="H17" s="154"/>
      <c r="I17" s="21"/>
      <c r="J17" s="21"/>
      <c r="K17" s="199"/>
      <c r="L17" s="154">
        <v>0</v>
      </c>
      <c r="M17" s="21">
        <f>L17+0.06*L17/4</f>
        <v>0</v>
      </c>
      <c r="N17" s="21">
        <f t="shared" ref="N17:W17" si="8">M17+0.06*M17/4</f>
        <v>0</v>
      </c>
      <c r="O17" s="199">
        <f t="shared" si="8"/>
        <v>0</v>
      </c>
      <c r="P17" s="154">
        <f t="shared" si="8"/>
        <v>0</v>
      </c>
      <c r="Q17" s="21">
        <f t="shared" si="8"/>
        <v>0</v>
      </c>
      <c r="R17" s="21">
        <f t="shared" si="8"/>
        <v>0</v>
      </c>
      <c r="S17" s="199">
        <f t="shared" si="8"/>
        <v>0</v>
      </c>
      <c r="T17" s="149">
        <f t="shared" si="8"/>
        <v>0</v>
      </c>
      <c r="U17" s="21">
        <f t="shared" si="8"/>
        <v>0</v>
      </c>
      <c r="V17" s="21">
        <f t="shared" si="8"/>
        <v>0</v>
      </c>
      <c r="W17" s="199">
        <f t="shared" si="8"/>
        <v>0</v>
      </c>
      <c r="X17" s="149"/>
      <c r="Y17" s="21"/>
      <c r="Z17" s="21"/>
      <c r="AA17" s="22"/>
      <c r="AB17" s="154"/>
      <c r="AC17" s="21"/>
      <c r="AD17" s="21"/>
      <c r="AE17" s="272"/>
      <c r="AF17"/>
    </row>
    <row r="18" spans="1:32" s="2" customFormat="1" x14ac:dyDescent="0.25">
      <c r="A18" s="142"/>
      <c r="B18" s="23"/>
      <c r="C18" s="100" t="s">
        <v>42</v>
      </c>
      <c r="D18" s="131" t="s">
        <v>54</v>
      </c>
      <c r="E18" s="42"/>
      <c r="F18" s="43"/>
      <c r="G18" s="93">
        <v>375</v>
      </c>
      <c r="H18" s="201"/>
      <c r="I18" s="202"/>
      <c r="J18" s="202"/>
      <c r="K18" s="203"/>
      <c r="L18" s="157">
        <v>65</v>
      </c>
      <c r="M18" s="158"/>
      <c r="N18" s="158"/>
      <c r="O18" s="234">
        <v>65</v>
      </c>
      <c r="P18" s="241"/>
      <c r="Q18" s="159"/>
      <c r="R18" s="160">
        <v>65</v>
      </c>
      <c r="S18" s="242"/>
      <c r="T18" s="240"/>
      <c r="U18" s="161">
        <v>65</v>
      </c>
      <c r="V18" s="161"/>
      <c r="W18" s="249"/>
      <c r="X18" s="246">
        <v>65</v>
      </c>
      <c r="Y18" s="162"/>
      <c r="Z18" s="162"/>
      <c r="AA18" s="255">
        <v>50</v>
      </c>
      <c r="AB18" s="273"/>
      <c r="AC18" s="163"/>
      <c r="AD18" s="164"/>
      <c r="AE18" s="274">
        <f>SUM(H18:AD18)</f>
        <v>375</v>
      </c>
    </row>
    <row r="19" spans="1:32" s="2" customFormat="1" x14ac:dyDescent="0.25">
      <c r="A19" s="142"/>
      <c r="B19" s="23"/>
      <c r="C19" s="100" t="s">
        <v>42</v>
      </c>
      <c r="D19" s="35" t="s">
        <v>43</v>
      </c>
      <c r="E19" s="42"/>
      <c r="F19" s="43"/>
      <c r="G19" s="93"/>
      <c r="H19" s="201"/>
      <c r="I19" s="202"/>
      <c r="J19" s="202"/>
      <c r="K19" s="203"/>
      <c r="L19" s="165"/>
      <c r="M19" s="164"/>
      <c r="N19" s="164"/>
      <c r="O19" s="235"/>
      <c r="P19" s="165"/>
      <c r="Q19" s="164"/>
      <c r="R19" s="164"/>
      <c r="S19" s="235"/>
      <c r="T19" s="224"/>
      <c r="U19" s="164"/>
      <c r="V19" s="164"/>
      <c r="W19" s="235"/>
      <c r="X19" s="224"/>
      <c r="Y19" s="164"/>
      <c r="Z19" s="164"/>
      <c r="AA19" s="256"/>
      <c r="AB19" s="165"/>
      <c r="AC19" s="164"/>
      <c r="AD19" s="164"/>
      <c r="AE19" s="274">
        <f>SUM(H19:W19)</f>
        <v>0</v>
      </c>
    </row>
    <row r="20" spans="1:32" x14ac:dyDescent="0.25">
      <c r="B20" s="33"/>
      <c r="C20" s="27" t="s">
        <v>10</v>
      </c>
      <c r="D20" s="35"/>
      <c r="E20" s="27"/>
      <c r="F20" s="29"/>
      <c r="G20" s="34">
        <f>SUM(H20:AD20)</f>
        <v>27626942.601034611</v>
      </c>
      <c r="H20" s="154"/>
      <c r="I20" s="21"/>
      <c r="J20" s="21"/>
      <c r="K20" s="199">
        <f>K17*K18</f>
        <v>0</v>
      </c>
      <c r="L20" s="154">
        <f>SUM(L16*L18)+(L17*L19)</f>
        <v>4290000</v>
      </c>
      <c r="M20" s="21">
        <f t="shared" ref="M20:U20" si="9">SUM(M16*M18)+(M17*M19)</f>
        <v>0</v>
      </c>
      <c r="N20" s="21">
        <f t="shared" si="9"/>
        <v>0</v>
      </c>
      <c r="O20" s="199">
        <f t="shared" si="9"/>
        <v>4485960.2287499998</v>
      </c>
      <c r="P20" s="154">
        <f t="shared" si="9"/>
        <v>0</v>
      </c>
      <c r="Q20" s="21">
        <f t="shared" si="9"/>
        <v>0</v>
      </c>
      <c r="R20" s="21">
        <f t="shared" si="9"/>
        <v>4690871.6023139283</v>
      </c>
      <c r="S20" s="199">
        <f t="shared" si="9"/>
        <v>0</v>
      </c>
      <c r="T20" s="149">
        <f t="shared" si="9"/>
        <v>0</v>
      </c>
      <c r="U20" s="21">
        <f t="shared" si="9"/>
        <v>4905142.9944412755</v>
      </c>
      <c r="V20" s="21">
        <f t="shared" ref="V20:AD20" si="10">SUM(V16*V18)+(V17*V19)</f>
        <v>0</v>
      </c>
      <c r="W20" s="199">
        <f t="shared" si="10"/>
        <v>0</v>
      </c>
      <c r="X20" s="149">
        <f t="shared" si="10"/>
        <v>5129201.9555699872</v>
      </c>
      <c r="Y20" s="21">
        <f t="shared" si="10"/>
        <v>0</v>
      </c>
      <c r="Z20" s="21">
        <f t="shared" si="10"/>
        <v>0</v>
      </c>
      <c r="AA20" s="22">
        <f t="shared" si="10"/>
        <v>4125765.8199594202</v>
      </c>
      <c r="AB20" s="154">
        <f t="shared" si="10"/>
        <v>0</v>
      </c>
      <c r="AC20" s="21">
        <f t="shared" si="10"/>
        <v>0</v>
      </c>
      <c r="AD20" s="21">
        <f t="shared" si="10"/>
        <v>0</v>
      </c>
      <c r="AE20" s="274">
        <f>SUM(H20:AD20)</f>
        <v>27626942.601034611</v>
      </c>
      <c r="AF20"/>
    </row>
    <row r="21" spans="1:32" x14ac:dyDescent="0.25">
      <c r="B21" s="33"/>
      <c r="C21" s="27" t="s">
        <v>11</v>
      </c>
      <c r="D21" s="35"/>
      <c r="E21" s="27"/>
      <c r="F21" s="29"/>
      <c r="G21" s="34">
        <f>SUM(H21:AD21)</f>
        <v>-555538.8520206922</v>
      </c>
      <c r="H21" s="154"/>
      <c r="I21" s="21"/>
      <c r="J21" s="21"/>
      <c r="K21" s="199"/>
      <c r="L21" s="154">
        <f>-L20*0.02-500</f>
        <v>-86300</v>
      </c>
      <c r="M21" s="21"/>
      <c r="N21" s="21"/>
      <c r="O21" s="199">
        <f t="shared" ref="O21:AA21" si="11">-O20*0.02-500</f>
        <v>-90219.204574999996</v>
      </c>
      <c r="P21" s="154"/>
      <c r="Q21" s="21"/>
      <c r="R21" s="21">
        <f t="shared" si="11"/>
        <v>-94317.432046278569</v>
      </c>
      <c r="S21" s="199"/>
      <c r="T21" s="149"/>
      <c r="U21" s="21">
        <f t="shared" si="11"/>
        <v>-98602.859888825507</v>
      </c>
      <c r="V21" s="21"/>
      <c r="W21" s="199"/>
      <c r="X21" s="149">
        <f t="shared" si="11"/>
        <v>-103084.03911139975</v>
      </c>
      <c r="Y21" s="21"/>
      <c r="Z21" s="21"/>
      <c r="AA21" s="22">
        <f t="shared" si="11"/>
        <v>-83015.316399188407</v>
      </c>
      <c r="AB21" s="154"/>
      <c r="AC21" s="21"/>
      <c r="AD21" s="21"/>
      <c r="AE21" s="274">
        <f t="shared" ref="AE21" si="12">SUM(H21:W21)</f>
        <v>-369439.49651010404</v>
      </c>
      <c r="AF21"/>
    </row>
    <row r="22" spans="1:32" x14ac:dyDescent="0.25">
      <c r="B22" s="33"/>
      <c r="C22" s="27" t="s">
        <v>12</v>
      </c>
      <c r="D22" s="35"/>
      <c r="E22" s="27"/>
      <c r="F22" s="29"/>
      <c r="G22" s="130">
        <f>E39</f>
        <v>375</v>
      </c>
      <c r="H22" s="154"/>
      <c r="I22" s="21"/>
      <c r="J22" s="21"/>
      <c r="K22" s="199">
        <f>K18</f>
        <v>0</v>
      </c>
      <c r="L22" s="154">
        <f>L18+L19+K22</f>
        <v>65</v>
      </c>
      <c r="M22" s="21">
        <f t="shared" ref="M22:U22" si="13">M18+M19+L22</f>
        <v>65</v>
      </c>
      <c r="N22" s="21">
        <f t="shared" si="13"/>
        <v>65</v>
      </c>
      <c r="O22" s="199">
        <f t="shared" si="13"/>
        <v>130</v>
      </c>
      <c r="P22" s="154">
        <f t="shared" si="13"/>
        <v>130</v>
      </c>
      <c r="Q22" s="21">
        <f t="shared" si="13"/>
        <v>130</v>
      </c>
      <c r="R22" s="21">
        <f t="shared" si="13"/>
        <v>195</v>
      </c>
      <c r="S22" s="199">
        <f t="shared" si="13"/>
        <v>195</v>
      </c>
      <c r="T22" s="149">
        <f t="shared" si="13"/>
        <v>195</v>
      </c>
      <c r="U22" s="21">
        <f t="shared" si="13"/>
        <v>260</v>
      </c>
      <c r="V22" s="21">
        <f t="shared" ref="V22" si="14">V18+V19+U22</f>
        <v>260</v>
      </c>
      <c r="W22" s="199">
        <f t="shared" ref="W22" si="15">W18+W19+V22</f>
        <v>260</v>
      </c>
      <c r="X22" s="149">
        <f t="shared" ref="X22" si="16">X18+X19+W22</f>
        <v>325</v>
      </c>
      <c r="Y22" s="21">
        <f t="shared" ref="Y22" si="17">Y18+Y19+X22</f>
        <v>325</v>
      </c>
      <c r="Z22" s="21">
        <f t="shared" ref="Z22" si="18">Z18+Z19+Y22</f>
        <v>325</v>
      </c>
      <c r="AA22" s="22">
        <f t="shared" ref="AA22" si="19">AA18+AA19+Z22</f>
        <v>375</v>
      </c>
      <c r="AB22" s="154">
        <f t="shared" ref="AB22" si="20">AB18+AB19+AA22</f>
        <v>375</v>
      </c>
      <c r="AC22" s="21">
        <f t="shared" ref="AC22" si="21">AC18+AC19+AB22</f>
        <v>375</v>
      </c>
      <c r="AD22" s="21">
        <f t="shared" ref="AD22" si="22">AD18+AD19+AC22</f>
        <v>375</v>
      </c>
      <c r="AE22" s="274"/>
      <c r="AF22"/>
    </row>
    <row r="23" spans="1:32" s="2" customFormat="1" x14ac:dyDescent="0.25">
      <c r="A23" s="142"/>
      <c r="B23" s="101"/>
      <c r="C23" s="133" t="s">
        <v>34</v>
      </c>
      <c r="D23" s="100"/>
      <c r="E23" s="102"/>
      <c r="F23" s="43"/>
      <c r="G23" s="92">
        <f>5000*G22</f>
        <v>1875000</v>
      </c>
      <c r="H23" s="154"/>
      <c r="I23" s="21"/>
      <c r="J23" s="21"/>
      <c r="K23" s="199">
        <f>SUM(K18+K19)*5000</f>
        <v>0</v>
      </c>
      <c r="L23" s="154"/>
      <c r="M23" s="21"/>
      <c r="N23" s="21"/>
      <c r="O23" s="199"/>
      <c r="P23" s="154"/>
      <c r="Q23" s="21">
        <v>325000</v>
      </c>
      <c r="R23" s="21">
        <v>165000</v>
      </c>
      <c r="S23" s="199">
        <v>165000</v>
      </c>
      <c r="T23" s="149">
        <v>165000</v>
      </c>
      <c r="U23" s="21">
        <v>165000</v>
      </c>
      <c r="V23" s="21">
        <v>165000</v>
      </c>
      <c r="W23" s="199">
        <f>SUM(W18+W19)*5000</f>
        <v>0</v>
      </c>
      <c r="X23" s="149">
        <v>165000</v>
      </c>
      <c r="Y23" s="21">
        <f t="shared" ref="Y23:AC23" si="23">SUM(Y18+Y19)*5000</f>
        <v>0</v>
      </c>
      <c r="Z23" s="21">
        <v>165000</v>
      </c>
      <c r="AA23" s="22"/>
      <c r="AB23" s="154">
        <v>165000</v>
      </c>
      <c r="AC23" s="21">
        <f t="shared" si="23"/>
        <v>0</v>
      </c>
      <c r="AD23" s="21">
        <v>230000</v>
      </c>
      <c r="AE23" s="274">
        <f>SUM(H23:AD23)</f>
        <v>1875000</v>
      </c>
    </row>
    <row r="24" spans="1:32" s="2" customFormat="1" x14ac:dyDescent="0.25">
      <c r="A24" s="142"/>
      <c r="B24" s="101"/>
      <c r="C24" s="133" t="s">
        <v>38</v>
      </c>
      <c r="D24" s="100"/>
      <c r="E24" s="102"/>
      <c r="F24" s="43"/>
      <c r="G24" s="114">
        <f>(G42+G45+0.3*G53 )  -G23</f>
        <v>11447187.5</v>
      </c>
      <c r="H24" s="154"/>
      <c r="I24" s="21"/>
      <c r="J24" s="21"/>
      <c r="K24" s="199"/>
      <c r="L24" s="154"/>
      <c r="M24" s="21"/>
      <c r="N24" s="21"/>
      <c r="O24" s="236"/>
      <c r="P24" s="154">
        <v>3000000</v>
      </c>
      <c r="Q24" s="21"/>
      <c r="R24" s="21"/>
      <c r="S24" s="236"/>
      <c r="T24" s="154">
        <v>3627732</v>
      </c>
      <c r="U24" s="21"/>
      <c r="V24" s="21"/>
      <c r="W24" s="199">
        <v>2722978</v>
      </c>
      <c r="X24" s="149"/>
      <c r="Y24" s="21"/>
      <c r="Z24" s="21"/>
      <c r="AA24" s="22">
        <v>2096478</v>
      </c>
      <c r="AB24" s="154"/>
      <c r="AC24" s="21"/>
      <c r="AD24" s="21"/>
      <c r="AE24" s="274">
        <f>SUM(H24:AD24)</f>
        <v>11447188</v>
      </c>
    </row>
    <row r="25" spans="1:32" x14ac:dyDescent="0.25">
      <c r="B25" s="26"/>
      <c r="C25" s="133" t="s">
        <v>13</v>
      </c>
      <c r="D25" s="35"/>
      <c r="E25" s="27"/>
      <c r="F25" s="29"/>
      <c r="G25" s="24"/>
      <c r="H25" s="154"/>
      <c r="I25" s="21"/>
      <c r="J25" s="21"/>
      <c r="K25" s="199"/>
      <c r="L25" s="154">
        <f>SUM(L22*300000)</f>
        <v>19500000</v>
      </c>
      <c r="M25" s="21">
        <f t="shared" ref="M25:AD25" si="24">SUM(M22*300000)</f>
        <v>19500000</v>
      </c>
      <c r="N25" s="21">
        <f t="shared" si="24"/>
        <v>19500000</v>
      </c>
      <c r="O25" s="199">
        <f t="shared" si="24"/>
        <v>39000000</v>
      </c>
      <c r="P25" s="154">
        <f t="shared" si="24"/>
        <v>39000000</v>
      </c>
      <c r="Q25" s="21">
        <f t="shared" si="24"/>
        <v>39000000</v>
      </c>
      <c r="R25" s="21">
        <f t="shared" si="24"/>
        <v>58500000</v>
      </c>
      <c r="S25" s="199">
        <f t="shared" si="24"/>
        <v>58500000</v>
      </c>
      <c r="T25" s="154">
        <f t="shared" si="24"/>
        <v>58500000</v>
      </c>
      <c r="U25" s="21">
        <f t="shared" si="24"/>
        <v>78000000</v>
      </c>
      <c r="V25" s="21">
        <f t="shared" si="24"/>
        <v>78000000</v>
      </c>
      <c r="W25" s="199">
        <f t="shared" si="24"/>
        <v>78000000</v>
      </c>
      <c r="X25" s="149">
        <f t="shared" si="24"/>
        <v>97500000</v>
      </c>
      <c r="Y25" s="21">
        <f t="shared" si="24"/>
        <v>97500000</v>
      </c>
      <c r="Z25" s="21">
        <f t="shared" si="24"/>
        <v>97500000</v>
      </c>
      <c r="AA25" s="22">
        <f t="shared" si="24"/>
        <v>112500000</v>
      </c>
      <c r="AB25" s="154">
        <f t="shared" si="24"/>
        <v>112500000</v>
      </c>
      <c r="AC25" s="21">
        <f t="shared" si="24"/>
        <v>112500000</v>
      </c>
      <c r="AD25" s="21">
        <f t="shared" si="24"/>
        <v>112500000</v>
      </c>
      <c r="AE25" s="274"/>
      <c r="AF25"/>
    </row>
    <row r="26" spans="1:32" s="39" customFormat="1" x14ac:dyDescent="0.25">
      <c r="A26" s="142"/>
      <c r="B26" s="23" t="s">
        <v>14</v>
      </c>
      <c r="C26" s="18"/>
      <c r="D26" s="36"/>
      <c r="E26" s="37"/>
      <c r="F26" s="19"/>
      <c r="G26" s="38">
        <f>G20+G21+G23+G24</f>
        <v>40393591.249013916</v>
      </c>
      <c r="H26" s="154"/>
      <c r="I26" s="21"/>
      <c r="J26" s="21"/>
      <c r="K26" s="199">
        <f>K20+K21+K23</f>
        <v>0</v>
      </c>
      <c r="L26" s="154">
        <f>L20+L21+L23+L24</f>
        <v>4203700</v>
      </c>
      <c r="M26" s="21">
        <f t="shared" ref="M26:U26" si="25">M20+M21+M23+M24</f>
        <v>0</v>
      </c>
      <c r="N26" s="21">
        <f t="shared" si="25"/>
        <v>0</v>
      </c>
      <c r="O26" s="199">
        <f t="shared" si="25"/>
        <v>4395741.0241749994</v>
      </c>
      <c r="P26" s="154">
        <f t="shared" si="25"/>
        <v>3000000</v>
      </c>
      <c r="Q26" s="21">
        <f t="shared" si="25"/>
        <v>325000</v>
      </c>
      <c r="R26" s="21">
        <f t="shared" si="25"/>
        <v>4761554.1702676499</v>
      </c>
      <c r="S26" s="199">
        <f t="shared" si="25"/>
        <v>165000</v>
      </c>
      <c r="T26" s="154">
        <f t="shared" si="25"/>
        <v>3792732</v>
      </c>
      <c r="U26" s="21">
        <f t="shared" si="25"/>
        <v>4971540.1345524499</v>
      </c>
      <c r="V26" s="21">
        <f t="shared" ref="V26:AD26" si="26">V20+V21+V23+V24</f>
        <v>165000</v>
      </c>
      <c r="W26" s="199">
        <f t="shared" si="26"/>
        <v>2722978</v>
      </c>
      <c r="X26" s="149">
        <f t="shared" si="26"/>
        <v>5191117.9164585872</v>
      </c>
      <c r="Y26" s="21">
        <f t="shared" si="26"/>
        <v>0</v>
      </c>
      <c r="Z26" s="21">
        <f t="shared" si="26"/>
        <v>165000</v>
      </c>
      <c r="AA26" s="22">
        <f t="shared" si="26"/>
        <v>6139228.503560232</v>
      </c>
      <c r="AB26" s="154">
        <f t="shared" si="26"/>
        <v>165000</v>
      </c>
      <c r="AC26" s="21">
        <f t="shared" si="26"/>
        <v>0</v>
      </c>
      <c r="AD26" s="21">
        <f t="shared" si="26"/>
        <v>230000</v>
      </c>
      <c r="AE26" s="274">
        <f>SUM(H26:AD26)</f>
        <v>40393591.749013916</v>
      </c>
    </row>
    <row r="27" spans="1:32" x14ac:dyDescent="0.25">
      <c r="B27" s="26"/>
      <c r="C27" s="27"/>
      <c r="D27" s="35"/>
      <c r="E27" s="27"/>
      <c r="F27" s="29"/>
      <c r="G27" s="24"/>
      <c r="H27" s="154"/>
      <c r="I27" s="21"/>
      <c r="J27" s="21"/>
      <c r="K27" s="199"/>
      <c r="L27" s="154"/>
      <c r="M27" s="21"/>
      <c r="N27" s="21"/>
      <c r="O27" s="199"/>
      <c r="P27" s="154"/>
      <c r="Q27" s="21"/>
      <c r="R27" s="21"/>
      <c r="S27" s="199"/>
      <c r="T27" s="154"/>
      <c r="U27" s="21"/>
      <c r="V27" s="21"/>
      <c r="W27" s="199"/>
      <c r="X27" s="149"/>
      <c r="Y27" s="21"/>
      <c r="Z27" s="21"/>
      <c r="AA27" s="22"/>
      <c r="AB27" s="154"/>
      <c r="AC27" s="21"/>
      <c r="AD27" s="21"/>
      <c r="AE27" s="268"/>
      <c r="AF27"/>
    </row>
    <row r="28" spans="1:32" x14ac:dyDescent="0.25">
      <c r="B28" s="16" t="s">
        <v>15</v>
      </c>
      <c r="C28" s="40"/>
      <c r="D28" s="41"/>
      <c r="E28" s="42"/>
      <c r="F28" s="43"/>
      <c r="G28" s="20"/>
      <c r="H28" s="154"/>
      <c r="I28" s="21"/>
      <c r="J28" s="21"/>
      <c r="K28" s="199"/>
      <c r="L28" s="154"/>
      <c r="M28" s="21"/>
      <c r="N28" s="21"/>
      <c r="O28" s="199"/>
      <c r="P28" s="154"/>
      <c r="Q28" s="21"/>
      <c r="R28" s="21"/>
      <c r="S28" s="199"/>
      <c r="T28" s="154"/>
      <c r="U28" s="21"/>
      <c r="V28" s="21"/>
      <c r="W28" s="199"/>
      <c r="X28" s="149"/>
      <c r="Y28" s="21"/>
      <c r="Z28" s="21"/>
      <c r="AA28" s="22"/>
      <c r="AB28" s="154"/>
      <c r="AC28" s="21"/>
      <c r="AD28" s="21"/>
      <c r="AE28" s="268"/>
      <c r="AF28"/>
    </row>
    <row r="29" spans="1:32" x14ac:dyDescent="0.25">
      <c r="B29" s="26"/>
      <c r="C29" s="27"/>
      <c r="D29" s="44"/>
      <c r="E29" s="27"/>
      <c r="F29" s="29"/>
      <c r="G29" s="24"/>
      <c r="H29" s="154"/>
      <c r="I29" s="21"/>
      <c r="J29" s="21"/>
      <c r="K29" s="199"/>
      <c r="L29" s="154"/>
      <c r="M29" s="21"/>
      <c r="N29" s="21"/>
      <c r="O29" s="199"/>
      <c r="P29" s="154"/>
      <c r="Q29" s="21"/>
      <c r="R29" s="21"/>
      <c r="S29" s="199"/>
      <c r="T29" s="154"/>
      <c r="U29" s="21"/>
      <c r="V29" s="21"/>
      <c r="W29" s="199"/>
      <c r="X29" s="149"/>
      <c r="Y29" s="21"/>
      <c r="Z29" s="21"/>
      <c r="AA29" s="22"/>
      <c r="AB29" s="154"/>
      <c r="AC29" s="21"/>
      <c r="AD29" s="21"/>
      <c r="AE29" s="268"/>
      <c r="AF29"/>
    </row>
    <row r="30" spans="1:32" s="49" customFormat="1" x14ac:dyDescent="0.25">
      <c r="A30" s="115"/>
      <c r="B30" s="45" t="s">
        <v>16</v>
      </c>
      <c r="C30" s="46"/>
      <c r="D30" s="46"/>
      <c r="E30" s="46"/>
      <c r="F30" s="47"/>
      <c r="G30" s="48"/>
      <c r="H30" s="166"/>
      <c r="I30" s="167"/>
      <c r="J30" s="167"/>
      <c r="K30" s="204"/>
      <c r="L30" s="166"/>
      <c r="M30" s="167"/>
      <c r="N30" s="167"/>
      <c r="O30" s="204"/>
      <c r="P30" s="166"/>
      <c r="Q30" s="167"/>
      <c r="R30" s="167"/>
      <c r="S30" s="204"/>
      <c r="T30" s="166"/>
      <c r="U30" s="167"/>
      <c r="V30" s="167"/>
      <c r="W30" s="204"/>
      <c r="X30" s="225"/>
      <c r="Y30" s="167"/>
      <c r="Z30" s="167"/>
      <c r="AA30" s="257"/>
      <c r="AB30" s="166"/>
      <c r="AC30" s="167"/>
      <c r="AD30" s="167"/>
      <c r="AE30" s="268"/>
    </row>
    <row r="31" spans="1:32" s="49" customFormat="1" x14ac:dyDescent="0.25">
      <c r="A31" s="115"/>
      <c r="B31" s="45"/>
      <c r="C31" s="46"/>
      <c r="D31" s="363">
        <v>23000</v>
      </c>
      <c r="E31" s="364" t="s">
        <v>63</v>
      </c>
      <c r="F31" s="47"/>
      <c r="G31" s="146"/>
      <c r="H31" s="168"/>
      <c r="I31" s="169"/>
      <c r="J31" s="169"/>
      <c r="K31" s="205"/>
      <c r="L31" s="168"/>
      <c r="M31" s="169"/>
      <c r="N31" s="169"/>
      <c r="O31" s="205"/>
      <c r="P31" s="168"/>
      <c r="Q31" s="169"/>
      <c r="R31" s="169"/>
      <c r="S31" s="205"/>
      <c r="T31" s="168"/>
      <c r="U31" s="169"/>
      <c r="V31" s="169"/>
      <c r="W31" s="205"/>
      <c r="X31" s="226"/>
      <c r="Y31" s="169"/>
      <c r="Z31" s="169"/>
      <c r="AA31" s="258"/>
      <c r="AB31" s="168"/>
      <c r="AC31" s="169"/>
      <c r="AD31" s="169"/>
      <c r="AE31" s="268"/>
    </row>
    <row r="32" spans="1:32" s="122" customFormat="1" x14ac:dyDescent="0.25">
      <c r="A32" s="143"/>
      <c r="B32" s="118"/>
      <c r="C32" s="119" t="s">
        <v>47</v>
      </c>
      <c r="D32" s="128" t="s">
        <v>33</v>
      </c>
      <c r="E32" s="120">
        <v>65</v>
      </c>
      <c r="F32" s="121"/>
      <c r="G32" s="34">
        <v>1485000</v>
      </c>
      <c r="H32" s="177"/>
      <c r="I32" s="171"/>
      <c r="J32" s="206">
        <v>371250</v>
      </c>
      <c r="K32" s="207">
        <v>742500</v>
      </c>
      <c r="L32" s="170">
        <v>371250</v>
      </c>
      <c r="M32" s="171"/>
      <c r="N32" s="171"/>
      <c r="O32" s="208"/>
      <c r="P32" s="177"/>
      <c r="Q32" s="171"/>
      <c r="R32" s="171"/>
      <c r="S32" s="208"/>
      <c r="T32" s="177"/>
      <c r="U32" s="171"/>
      <c r="V32" s="171"/>
      <c r="W32" s="208"/>
      <c r="X32" s="227"/>
      <c r="Y32" s="171"/>
      <c r="Z32" s="171"/>
      <c r="AA32" s="259"/>
      <c r="AB32" s="177"/>
      <c r="AC32" s="171"/>
      <c r="AD32" s="171"/>
      <c r="AE32" s="275">
        <f>SUM(H32:AD32)</f>
        <v>1485000</v>
      </c>
    </row>
    <row r="33" spans="1:31" s="125" customFormat="1" x14ac:dyDescent="0.25">
      <c r="A33" s="115"/>
      <c r="B33" s="123"/>
      <c r="C33" s="120" t="s">
        <v>48</v>
      </c>
      <c r="D33" s="129" t="s">
        <v>33</v>
      </c>
      <c r="E33" s="120">
        <v>65</v>
      </c>
      <c r="F33" s="124"/>
      <c r="G33" s="34">
        <v>1485000</v>
      </c>
      <c r="H33" s="177"/>
      <c r="I33" s="171"/>
      <c r="J33" s="174"/>
      <c r="K33" s="208"/>
      <c r="L33" s="172"/>
      <c r="M33" s="173">
        <v>371250</v>
      </c>
      <c r="N33" s="173">
        <v>742500</v>
      </c>
      <c r="O33" s="237">
        <v>371250</v>
      </c>
      <c r="P33" s="172"/>
      <c r="Q33" s="174"/>
      <c r="R33" s="174"/>
      <c r="S33" s="209"/>
      <c r="T33" s="177"/>
      <c r="U33" s="174"/>
      <c r="V33" s="174"/>
      <c r="W33" s="209"/>
      <c r="X33" s="228"/>
      <c r="Y33" s="174"/>
      <c r="Z33" s="174"/>
      <c r="AA33" s="260"/>
      <c r="AB33" s="172"/>
      <c r="AC33" s="174"/>
      <c r="AD33" s="174"/>
      <c r="AE33" s="275">
        <f t="shared" ref="AE33:AE57" si="27">SUM(H33:AD33)</f>
        <v>1485000</v>
      </c>
    </row>
    <row r="34" spans="1:31" s="125" customFormat="1" x14ac:dyDescent="0.25">
      <c r="A34" s="115"/>
      <c r="B34" s="123"/>
      <c r="C34" s="120" t="s">
        <v>49</v>
      </c>
      <c r="D34" s="129" t="s">
        <v>33</v>
      </c>
      <c r="E34" s="120">
        <v>65</v>
      </c>
      <c r="F34" s="124"/>
      <c r="G34" s="34">
        <v>1485000</v>
      </c>
      <c r="H34" s="177"/>
      <c r="I34" s="171"/>
      <c r="J34" s="171"/>
      <c r="K34" s="208"/>
      <c r="L34" s="172"/>
      <c r="M34" s="174"/>
      <c r="N34" s="174"/>
      <c r="O34" s="209"/>
      <c r="P34" s="243">
        <v>371250</v>
      </c>
      <c r="Q34" s="175">
        <v>742500</v>
      </c>
      <c r="R34" s="175">
        <v>371250</v>
      </c>
      <c r="S34" s="209"/>
      <c r="T34" s="172"/>
      <c r="U34" s="174"/>
      <c r="V34" s="174"/>
      <c r="W34" s="209"/>
      <c r="X34" s="228"/>
      <c r="Y34" s="174"/>
      <c r="Z34" s="174"/>
      <c r="AA34" s="260"/>
      <c r="AB34" s="172"/>
      <c r="AC34" s="174"/>
      <c r="AD34" s="174"/>
      <c r="AE34" s="275">
        <f t="shared" si="27"/>
        <v>1485000</v>
      </c>
    </row>
    <row r="35" spans="1:31" s="125" customFormat="1" x14ac:dyDescent="0.25">
      <c r="A35" s="115"/>
      <c r="B35" s="123"/>
      <c r="C35" s="120" t="s">
        <v>50</v>
      </c>
      <c r="D35" s="129" t="s">
        <v>33</v>
      </c>
      <c r="E35" s="120">
        <v>65</v>
      </c>
      <c r="F35" s="124"/>
      <c r="G35" s="34">
        <v>1485000</v>
      </c>
      <c r="H35" s="177"/>
      <c r="I35" s="171"/>
      <c r="J35" s="171"/>
      <c r="K35" s="209"/>
      <c r="L35" s="172"/>
      <c r="M35" s="174"/>
      <c r="N35" s="174"/>
      <c r="O35" s="209"/>
      <c r="P35" s="172"/>
      <c r="Q35" s="174"/>
      <c r="R35" s="174"/>
      <c r="S35" s="244">
        <v>371250</v>
      </c>
      <c r="T35" s="251">
        <v>742500</v>
      </c>
      <c r="U35" s="176">
        <v>371250</v>
      </c>
      <c r="V35" s="174"/>
      <c r="W35" s="209"/>
      <c r="X35" s="228"/>
      <c r="Y35" s="174"/>
      <c r="Z35" s="174"/>
      <c r="AA35" s="260"/>
      <c r="AB35" s="172"/>
      <c r="AC35" s="174"/>
      <c r="AD35" s="174"/>
      <c r="AE35" s="275">
        <f t="shared" si="27"/>
        <v>1485000</v>
      </c>
    </row>
    <row r="36" spans="1:31" s="125" customFormat="1" x14ac:dyDescent="0.25">
      <c r="A36" s="115"/>
      <c r="B36" s="123"/>
      <c r="C36" s="120" t="s">
        <v>51</v>
      </c>
      <c r="D36" s="129" t="s">
        <v>33</v>
      </c>
      <c r="E36" s="120">
        <v>65</v>
      </c>
      <c r="F36" s="124"/>
      <c r="G36" s="34">
        <v>1485000</v>
      </c>
      <c r="H36" s="177"/>
      <c r="I36" s="171"/>
      <c r="J36" s="171"/>
      <c r="K36" s="208"/>
      <c r="L36" s="177"/>
      <c r="M36" s="171"/>
      <c r="N36" s="174"/>
      <c r="O36" s="209"/>
      <c r="P36" s="172"/>
      <c r="Q36" s="174"/>
      <c r="R36" s="174"/>
      <c r="S36" s="209"/>
      <c r="T36" s="172"/>
      <c r="U36" s="174"/>
      <c r="V36" s="178">
        <v>371250</v>
      </c>
      <c r="W36" s="250">
        <v>742500</v>
      </c>
      <c r="X36" s="247">
        <v>371250</v>
      </c>
      <c r="Y36" s="174"/>
      <c r="Z36" s="174"/>
      <c r="AA36" s="260"/>
      <c r="AB36" s="172"/>
      <c r="AC36" s="174"/>
      <c r="AD36" s="174"/>
      <c r="AE36" s="275">
        <f t="shared" si="27"/>
        <v>1485000</v>
      </c>
    </row>
    <row r="37" spans="1:31" s="125" customFormat="1" x14ac:dyDescent="0.25">
      <c r="A37" s="115"/>
      <c r="B37" s="123"/>
      <c r="C37" s="120" t="s">
        <v>52</v>
      </c>
      <c r="D37" s="129" t="s">
        <v>33</v>
      </c>
      <c r="E37" s="120">
        <v>50</v>
      </c>
      <c r="F37" s="124"/>
      <c r="G37" s="34">
        <v>1485000</v>
      </c>
      <c r="H37" s="177"/>
      <c r="I37" s="171"/>
      <c r="J37" s="171"/>
      <c r="K37" s="208"/>
      <c r="L37" s="177"/>
      <c r="M37" s="174"/>
      <c r="N37" s="174"/>
      <c r="O37" s="209"/>
      <c r="P37" s="172"/>
      <c r="Q37" s="174"/>
      <c r="R37" s="174"/>
      <c r="S37" s="209"/>
      <c r="T37" s="172"/>
      <c r="U37" s="174"/>
      <c r="V37" s="174"/>
      <c r="W37" s="209"/>
      <c r="X37" s="228"/>
      <c r="Y37" s="179">
        <v>371250</v>
      </c>
      <c r="Z37" s="179">
        <v>742500</v>
      </c>
      <c r="AA37" s="261">
        <v>371250</v>
      </c>
      <c r="AB37" s="172"/>
      <c r="AC37" s="174"/>
      <c r="AD37" s="174"/>
      <c r="AE37" s="275">
        <f t="shared" si="27"/>
        <v>1485000</v>
      </c>
    </row>
    <row r="38" spans="1:31" s="125" customFormat="1" x14ac:dyDescent="0.25">
      <c r="A38" s="115"/>
      <c r="B38" s="123"/>
      <c r="C38" s="120" t="s">
        <v>37</v>
      </c>
      <c r="D38" s="120"/>
      <c r="E38" s="126"/>
      <c r="F38" s="124"/>
      <c r="G38" s="34">
        <v>800000</v>
      </c>
      <c r="H38" s="177"/>
      <c r="I38" s="171"/>
      <c r="J38" s="171"/>
      <c r="K38" s="208"/>
      <c r="L38" s="177"/>
      <c r="M38" s="171">
        <v>125000</v>
      </c>
      <c r="N38" s="174">
        <v>325000</v>
      </c>
      <c r="O38" s="209">
        <v>350000</v>
      </c>
      <c r="P38" s="172"/>
      <c r="Q38" s="174"/>
      <c r="R38" s="174"/>
      <c r="S38" s="209"/>
      <c r="T38" s="172"/>
      <c r="U38" s="174"/>
      <c r="V38" s="174"/>
      <c r="W38" s="209"/>
      <c r="X38" s="228"/>
      <c r="Y38" s="174"/>
      <c r="Z38" s="174"/>
      <c r="AA38" s="260"/>
      <c r="AB38" s="172"/>
      <c r="AC38" s="174"/>
      <c r="AD38" s="174"/>
      <c r="AE38" s="275">
        <f>SUM(H38:AD38)</f>
        <v>800000</v>
      </c>
    </row>
    <row r="39" spans="1:31" s="49" customFormat="1" x14ac:dyDescent="0.25">
      <c r="A39" s="115"/>
      <c r="B39" s="45"/>
      <c r="C39" s="46"/>
      <c r="D39" s="46"/>
      <c r="E39" s="97">
        <f>SUM(E32:E38)</f>
        <v>375</v>
      </c>
      <c r="F39" s="47"/>
      <c r="G39" s="34"/>
      <c r="H39" s="180"/>
      <c r="I39" s="181"/>
      <c r="J39" s="181"/>
      <c r="K39" s="210"/>
      <c r="L39" s="180"/>
      <c r="M39" s="181"/>
      <c r="N39" s="182"/>
      <c r="O39" s="238"/>
      <c r="P39" s="245"/>
      <c r="Q39" s="182"/>
      <c r="R39" s="182"/>
      <c r="S39" s="238"/>
      <c r="T39" s="245"/>
      <c r="U39" s="182"/>
      <c r="V39" s="182"/>
      <c r="W39" s="238"/>
      <c r="X39" s="229"/>
      <c r="Y39" s="182"/>
      <c r="Z39" s="182"/>
      <c r="AA39" s="262"/>
      <c r="AB39" s="245"/>
      <c r="AC39" s="182"/>
      <c r="AD39" s="182"/>
      <c r="AE39" s="275">
        <f t="shared" si="27"/>
        <v>0</v>
      </c>
    </row>
    <row r="40" spans="1:31" s="49" customFormat="1" x14ac:dyDescent="0.25">
      <c r="A40" s="115"/>
      <c r="B40" s="45"/>
      <c r="C40" s="46"/>
      <c r="D40" s="46"/>
      <c r="E40" s="46"/>
      <c r="F40" s="47"/>
      <c r="G40" s="34"/>
      <c r="H40" s="180"/>
      <c r="I40" s="181"/>
      <c r="J40" s="181"/>
      <c r="K40" s="210"/>
      <c r="L40" s="180"/>
      <c r="M40" s="181"/>
      <c r="N40" s="182"/>
      <c r="O40" s="238"/>
      <c r="P40" s="245"/>
      <c r="Q40" s="182"/>
      <c r="R40" s="182"/>
      <c r="S40" s="238"/>
      <c r="T40" s="245"/>
      <c r="U40" s="182"/>
      <c r="V40" s="182"/>
      <c r="W40" s="238"/>
      <c r="X40" s="229"/>
      <c r="Y40" s="182"/>
      <c r="Z40" s="182"/>
      <c r="AA40" s="262"/>
      <c r="AB40" s="245"/>
      <c r="AC40" s="182"/>
      <c r="AD40" s="182"/>
      <c r="AE40" s="275">
        <f t="shared" si="27"/>
        <v>0</v>
      </c>
    </row>
    <row r="41" spans="1:31" s="49" customFormat="1" x14ac:dyDescent="0.25">
      <c r="A41" s="115"/>
      <c r="B41" s="45"/>
      <c r="C41" s="50"/>
      <c r="D41" s="46"/>
      <c r="E41" s="46"/>
      <c r="F41" s="47"/>
      <c r="G41" s="48"/>
      <c r="H41" s="166"/>
      <c r="I41" s="167"/>
      <c r="J41" s="167"/>
      <c r="K41" s="204"/>
      <c r="L41" s="166"/>
      <c r="M41" s="167"/>
      <c r="N41" s="167"/>
      <c r="O41" s="204"/>
      <c r="P41" s="166"/>
      <c r="Q41" s="167"/>
      <c r="R41" s="167"/>
      <c r="S41" s="204"/>
      <c r="T41" s="166"/>
      <c r="U41" s="167"/>
      <c r="V41" s="167"/>
      <c r="W41" s="204"/>
      <c r="X41" s="225"/>
      <c r="Y41" s="167"/>
      <c r="Z41" s="167"/>
      <c r="AA41" s="257"/>
      <c r="AB41" s="166"/>
      <c r="AC41" s="167"/>
      <c r="AD41" s="167"/>
      <c r="AE41" s="275">
        <f t="shared" si="27"/>
        <v>0</v>
      </c>
    </row>
    <row r="42" spans="1:31" s="49" customFormat="1" x14ac:dyDescent="0.25">
      <c r="A42" s="115"/>
      <c r="B42" s="45" t="s">
        <v>17</v>
      </c>
      <c r="C42" s="46"/>
      <c r="D42" s="51"/>
      <c r="E42" s="52"/>
      <c r="F42" s="47"/>
      <c r="G42" s="53">
        <f>SUM(G31:G41)</f>
        <v>9710000</v>
      </c>
      <c r="H42" s="183">
        <f t="shared" ref="H42:U42" si="28">SUM(H31:H41)</f>
        <v>0</v>
      </c>
      <c r="I42" s="184">
        <f t="shared" si="28"/>
        <v>0</v>
      </c>
      <c r="J42" s="184">
        <f t="shared" si="28"/>
        <v>371250</v>
      </c>
      <c r="K42" s="211">
        <f t="shared" si="28"/>
        <v>742500</v>
      </c>
      <c r="L42" s="183">
        <f t="shared" si="28"/>
        <v>371250</v>
      </c>
      <c r="M42" s="184">
        <f t="shared" si="28"/>
        <v>496250</v>
      </c>
      <c r="N42" s="184">
        <f t="shared" si="28"/>
        <v>1067500</v>
      </c>
      <c r="O42" s="211">
        <f t="shared" si="28"/>
        <v>721250</v>
      </c>
      <c r="P42" s="183">
        <f t="shared" si="28"/>
        <v>371250</v>
      </c>
      <c r="Q42" s="184">
        <f>SUM(Q31:Q41)</f>
        <v>742500</v>
      </c>
      <c r="R42" s="184">
        <f t="shared" si="28"/>
        <v>371250</v>
      </c>
      <c r="S42" s="211">
        <f t="shared" si="28"/>
        <v>371250</v>
      </c>
      <c r="T42" s="183">
        <f t="shared" si="28"/>
        <v>742500</v>
      </c>
      <c r="U42" s="184">
        <f t="shared" si="28"/>
        <v>371250</v>
      </c>
      <c r="V42" s="184">
        <f t="shared" ref="V42:AD42" si="29">SUM(V31:V41)</f>
        <v>371250</v>
      </c>
      <c r="W42" s="211">
        <f t="shared" si="29"/>
        <v>742500</v>
      </c>
      <c r="X42" s="230">
        <f t="shared" si="29"/>
        <v>371250</v>
      </c>
      <c r="Y42" s="184">
        <f t="shared" si="29"/>
        <v>371250</v>
      </c>
      <c r="Z42" s="184">
        <f t="shared" si="29"/>
        <v>742500</v>
      </c>
      <c r="AA42" s="263">
        <f t="shared" si="29"/>
        <v>371250</v>
      </c>
      <c r="AB42" s="183">
        <f t="shared" si="29"/>
        <v>0</v>
      </c>
      <c r="AC42" s="184">
        <f t="shared" si="29"/>
        <v>0</v>
      </c>
      <c r="AD42" s="184">
        <f t="shared" si="29"/>
        <v>0</v>
      </c>
      <c r="AE42" s="275">
        <f t="shared" si="27"/>
        <v>9710000</v>
      </c>
    </row>
    <row r="43" spans="1:31" s="60" customFormat="1" x14ac:dyDescent="0.25">
      <c r="A43" s="142"/>
      <c r="B43" s="54"/>
      <c r="C43" s="55"/>
      <c r="D43" s="56"/>
      <c r="E43" s="55"/>
      <c r="F43" s="57"/>
      <c r="G43" s="53"/>
      <c r="H43" s="185"/>
      <c r="I43" s="58"/>
      <c r="J43" s="58"/>
      <c r="K43" s="212"/>
      <c r="L43" s="185"/>
      <c r="M43" s="58"/>
      <c r="N43" s="58"/>
      <c r="O43" s="212"/>
      <c r="P43" s="185"/>
      <c r="Q43" s="58"/>
      <c r="R43" s="58"/>
      <c r="S43" s="212"/>
      <c r="T43" s="185"/>
      <c r="U43" s="58"/>
      <c r="V43" s="58"/>
      <c r="W43" s="212"/>
      <c r="X43" s="147"/>
      <c r="Y43" s="58"/>
      <c r="Z43" s="58"/>
      <c r="AA43" s="59"/>
      <c r="AB43" s="185"/>
      <c r="AC43" s="58"/>
      <c r="AD43" s="58"/>
      <c r="AE43" s="275">
        <f t="shared" si="27"/>
        <v>0</v>
      </c>
    </row>
    <row r="44" spans="1:31" s="63" customFormat="1" x14ac:dyDescent="0.25">
      <c r="A44" s="115"/>
      <c r="B44" s="23" t="s">
        <v>18</v>
      </c>
      <c r="C44" s="61"/>
      <c r="D44" s="61"/>
      <c r="E44" s="61"/>
      <c r="F44" s="62"/>
      <c r="G44" s="48"/>
      <c r="H44" s="166"/>
      <c r="I44" s="167"/>
      <c r="J44" s="167"/>
      <c r="K44" s="204"/>
      <c r="L44" s="166"/>
      <c r="M44" s="167"/>
      <c r="N44" s="167"/>
      <c r="O44" s="204"/>
      <c r="P44" s="166"/>
      <c r="Q44" s="167"/>
      <c r="R44" s="167"/>
      <c r="S44" s="204"/>
      <c r="T44" s="166"/>
      <c r="U44" s="167"/>
      <c r="V44" s="167"/>
      <c r="W44" s="204"/>
      <c r="X44" s="225"/>
      <c r="Y44" s="167"/>
      <c r="Z44" s="167"/>
      <c r="AA44" s="257"/>
      <c r="AB44" s="166"/>
      <c r="AC44" s="167"/>
      <c r="AD44" s="167"/>
      <c r="AE44" s="275">
        <f t="shared" si="27"/>
        <v>0</v>
      </c>
    </row>
    <row r="45" spans="1:31" s="83" customFormat="1" x14ac:dyDescent="0.25">
      <c r="A45" s="115"/>
      <c r="B45" s="23"/>
      <c r="C45" s="61" t="s">
        <v>32</v>
      </c>
      <c r="D45" s="61"/>
      <c r="E45" s="61"/>
      <c r="F45" s="62"/>
      <c r="G45" s="34">
        <f>SUM(H45:AD45)</f>
        <v>1512187.5</v>
      </c>
      <c r="H45" s="166">
        <f>SUM(H42*0.15)</f>
        <v>0</v>
      </c>
      <c r="I45" s="167">
        <f>0.15*J42</f>
        <v>55687.5</v>
      </c>
      <c r="J45" s="167">
        <f>0.15*K42</f>
        <v>111375</v>
      </c>
      <c r="K45" s="204">
        <f t="shared" ref="K45:U45" si="30">0.15*L42</f>
        <v>55687.5</v>
      </c>
      <c r="L45" s="166">
        <f t="shared" si="30"/>
        <v>74437.5</v>
      </c>
      <c r="M45" s="167">
        <f t="shared" si="30"/>
        <v>160125</v>
      </c>
      <c r="N45" s="167">
        <f t="shared" si="30"/>
        <v>108187.5</v>
      </c>
      <c r="O45" s="204">
        <f t="shared" si="30"/>
        <v>55687.5</v>
      </c>
      <c r="P45" s="166">
        <f t="shared" si="30"/>
        <v>111375</v>
      </c>
      <c r="Q45" s="167">
        <f t="shared" si="30"/>
        <v>55687.5</v>
      </c>
      <c r="R45" s="167">
        <f t="shared" si="30"/>
        <v>55687.5</v>
      </c>
      <c r="S45" s="204">
        <f t="shared" si="30"/>
        <v>111375</v>
      </c>
      <c r="T45" s="166">
        <f t="shared" si="30"/>
        <v>55687.5</v>
      </c>
      <c r="U45" s="167">
        <f t="shared" si="30"/>
        <v>55687.5</v>
      </c>
      <c r="V45" s="167">
        <f t="shared" ref="V45:AD45" si="31">SUM(V42*0.15)</f>
        <v>55687.5</v>
      </c>
      <c r="W45" s="204">
        <f t="shared" si="31"/>
        <v>111375</v>
      </c>
      <c r="X45" s="225">
        <f t="shared" si="31"/>
        <v>55687.5</v>
      </c>
      <c r="Y45" s="167">
        <f t="shared" si="31"/>
        <v>55687.5</v>
      </c>
      <c r="Z45" s="167">
        <f t="shared" si="31"/>
        <v>111375</v>
      </c>
      <c r="AA45" s="257">
        <f t="shared" si="31"/>
        <v>55687.5</v>
      </c>
      <c r="AB45" s="166">
        <f t="shared" si="31"/>
        <v>0</v>
      </c>
      <c r="AC45" s="167">
        <f t="shared" si="31"/>
        <v>0</v>
      </c>
      <c r="AD45" s="167">
        <f t="shared" si="31"/>
        <v>0</v>
      </c>
      <c r="AE45" s="275">
        <f t="shared" si="27"/>
        <v>1512187.5</v>
      </c>
    </row>
    <row r="46" spans="1:31" s="2" customFormat="1" x14ac:dyDescent="0.25">
      <c r="A46" s="142"/>
      <c r="B46" s="23"/>
      <c r="C46" s="42" t="s">
        <v>40</v>
      </c>
      <c r="D46" s="104"/>
      <c r="E46" s="42"/>
      <c r="F46" s="43"/>
      <c r="G46" s="93">
        <f>SUM(H46:U46)</f>
        <v>404169.37636036897</v>
      </c>
      <c r="H46" s="185">
        <f>0.0175*G64</f>
        <v>0</v>
      </c>
      <c r="I46" s="58">
        <f>0.0175*H64</f>
        <v>67452.875</v>
      </c>
      <c r="J46" s="58">
        <f t="shared" ref="J46:T46" si="32">0.0175*I64</f>
        <v>69607.83156250001</v>
      </c>
      <c r="K46" s="212">
        <f t="shared" si="32"/>
        <v>70521.906114843761</v>
      </c>
      <c r="L46" s="185">
        <f t="shared" si="32"/>
        <v>85724.320721853524</v>
      </c>
      <c r="M46" s="58">
        <f t="shared" si="32"/>
        <v>21984.277584485961</v>
      </c>
      <c r="N46" s="58">
        <f t="shared" si="32"/>
        <v>33855.564942214463</v>
      </c>
      <c r="O46" s="212">
        <f t="shared" si="32"/>
        <v>55022.56857870322</v>
      </c>
      <c r="P46" s="185">
        <f t="shared" si="32"/>
        <v>3.1855768032837663E-2</v>
      </c>
      <c r="Q46" s="58">
        <f t="shared" si="32"/>
        <v>0</v>
      </c>
      <c r="R46" s="58">
        <f t="shared" si="32"/>
        <v>0</v>
      </c>
      <c r="S46" s="212">
        <f t="shared" si="32"/>
        <v>0</v>
      </c>
      <c r="T46" s="185">
        <f t="shared" si="32"/>
        <v>0</v>
      </c>
      <c r="U46" s="58">
        <f t="shared" ref="U46" si="33">0.0175*T64</f>
        <v>0</v>
      </c>
      <c r="V46" s="58">
        <f t="shared" ref="V46" si="34">0.0175*U64</f>
        <v>0</v>
      </c>
      <c r="W46" s="212">
        <f t="shared" ref="W46" si="35">0.0175*V64</f>
        <v>0</v>
      </c>
      <c r="X46" s="147">
        <f t="shared" ref="X46" si="36">0.0175*W64</f>
        <v>0</v>
      </c>
      <c r="Y46" s="58">
        <f t="shared" ref="Y46" si="37">0.0175*X64</f>
        <v>0</v>
      </c>
      <c r="Z46" s="58">
        <f t="shared" ref="Z46" si="38">0.0175*Y64</f>
        <v>0</v>
      </c>
      <c r="AA46" s="59">
        <f t="shared" ref="AA46" si="39">0.0175*Z64</f>
        <v>0</v>
      </c>
      <c r="AB46" s="185">
        <f t="shared" ref="AB46" si="40">0.0175*AA64</f>
        <v>0</v>
      </c>
      <c r="AC46" s="58">
        <f t="shared" ref="AC46" si="41">0.0175*AB64</f>
        <v>0</v>
      </c>
      <c r="AD46" s="58">
        <f t="shared" ref="AD46" si="42">0.0175*AC64</f>
        <v>0</v>
      </c>
      <c r="AE46" s="275">
        <f t="shared" si="27"/>
        <v>404169.37636036897</v>
      </c>
    </row>
    <row r="47" spans="1:31" s="2" customFormat="1" x14ac:dyDescent="0.25">
      <c r="A47" s="142"/>
      <c r="B47" s="23"/>
      <c r="C47" s="133" t="s">
        <v>19</v>
      </c>
      <c r="D47" s="3"/>
      <c r="E47" s="42"/>
      <c r="F47" s="43"/>
      <c r="G47" s="93">
        <f>SUM(I47:U47)</f>
        <v>0</v>
      </c>
      <c r="H47" s="154"/>
      <c r="I47" s="21"/>
      <c r="J47" s="21"/>
      <c r="K47" s="199"/>
      <c r="L47" s="154"/>
      <c r="M47" s="21"/>
      <c r="N47" s="21"/>
      <c r="O47" s="199"/>
      <c r="P47" s="154"/>
      <c r="Q47" s="21"/>
      <c r="R47" s="21"/>
      <c r="S47" s="199"/>
      <c r="T47" s="154"/>
      <c r="U47" s="21"/>
      <c r="V47" s="21"/>
      <c r="W47" s="199"/>
      <c r="X47" s="149"/>
      <c r="Y47" s="21"/>
      <c r="Z47" s="21"/>
      <c r="AA47" s="22"/>
      <c r="AB47" s="154"/>
      <c r="AC47" s="21"/>
      <c r="AD47" s="21"/>
      <c r="AE47" s="275">
        <f t="shared" si="27"/>
        <v>0</v>
      </c>
    </row>
    <row r="48" spans="1:31" s="2" customFormat="1" x14ac:dyDescent="0.25">
      <c r="A48" s="142"/>
      <c r="B48" s="101"/>
      <c r="C48" s="133" t="s">
        <v>20</v>
      </c>
      <c r="D48" s="103"/>
      <c r="E48" s="102"/>
      <c r="F48" s="43"/>
      <c r="G48" s="34">
        <f>SUM(H48:AD48)</f>
        <v>150000</v>
      </c>
      <c r="H48" s="154"/>
      <c r="I48" s="21"/>
      <c r="J48" s="21"/>
      <c r="K48" s="199"/>
      <c r="L48" s="154">
        <v>30000</v>
      </c>
      <c r="M48" s="21"/>
      <c r="N48" s="21"/>
      <c r="O48" s="239"/>
      <c r="P48" s="154">
        <v>30000</v>
      </c>
      <c r="Q48" s="21"/>
      <c r="R48" s="21"/>
      <c r="S48" s="239"/>
      <c r="T48" s="154">
        <v>30000</v>
      </c>
      <c r="U48" s="21"/>
      <c r="V48" s="21"/>
      <c r="W48" s="199"/>
      <c r="X48" s="149">
        <v>30000</v>
      </c>
      <c r="Y48" s="21"/>
      <c r="Z48" s="21"/>
      <c r="AA48" s="22"/>
      <c r="AB48" s="154">
        <v>30000</v>
      </c>
      <c r="AC48" s="21"/>
      <c r="AD48" s="21"/>
      <c r="AE48" s="275">
        <f t="shared" si="27"/>
        <v>150000</v>
      </c>
    </row>
    <row r="49" spans="1:32" s="2" customFormat="1" x14ac:dyDescent="0.25">
      <c r="A49" s="142"/>
      <c r="B49" s="101"/>
      <c r="C49" s="134" t="s">
        <v>36</v>
      </c>
      <c r="D49" s="103"/>
      <c r="E49" s="102"/>
      <c r="F49" s="43"/>
      <c r="G49" s="34">
        <f>SUM(H49:U49)</f>
        <v>80000</v>
      </c>
      <c r="H49" s="154"/>
      <c r="I49" s="21"/>
      <c r="J49" s="21"/>
      <c r="K49" s="199"/>
      <c r="L49" s="154"/>
      <c r="M49" s="21"/>
      <c r="N49" s="21"/>
      <c r="O49" s="239"/>
      <c r="P49" s="154">
        <v>40000</v>
      </c>
      <c r="Q49" s="21"/>
      <c r="R49" s="21"/>
      <c r="S49" s="239"/>
      <c r="T49" s="154">
        <v>40000</v>
      </c>
      <c r="U49" s="21"/>
      <c r="V49" s="21"/>
      <c r="W49" s="199"/>
      <c r="X49" s="149"/>
      <c r="Y49" s="21"/>
      <c r="Z49" s="21"/>
      <c r="AA49" s="22"/>
      <c r="AB49" s="154"/>
      <c r="AC49" s="21"/>
      <c r="AD49" s="21"/>
      <c r="AE49" s="275">
        <f t="shared" si="27"/>
        <v>80000</v>
      </c>
    </row>
    <row r="50" spans="1:32" x14ac:dyDescent="0.25">
      <c r="B50" s="33"/>
      <c r="C50" s="27"/>
      <c r="D50" s="65"/>
      <c r="E50" s="27"/>
      <c r="F50" s="29"/>
      <c r="G50" s="24"/>
      <c r="H50" s="154"/>
      <c r="I50" s="21"/>
      <c r="J50" s="21"/>
      <c r="K50" s="199"/>
      <c r="L50" s="154"/>
      <c r="M50" s="21"/>
      <c r="N50" s="21"/>
      <c r="O50" s="199"/>
      <c r="P50" s="154"/>
      <c r="Q50" s="21"/>
      <c r="R50" s="21"/>
      <c r="S50" s="199"/>
      <c r="T50" s="154"/>
      <c r="U50" s="21"/>
      <c r="V50" s="21"/>
      <c r="W50" s="199"/>
      <c r="X50" s="149"/>
      <c r="Y50" s="21"/>
      <c r="Z50" s="21"/>
      <c r="AA50" s="22"/>
      <c r="AB50" s="154"/>
      <c r="AC50" s="21"/>
      <c r="AD50" s="21"/>
      <c r="AE50" s="275">
        <f t="shared" si="27"/>
        <v>0</v>
      </c>
      <c r="AF50"/>
    </row>
    <row r="51" spans="1:32" s="39" customFormat="1" x14ac:dyDescent="0.25">
      <c r="A51" s="142"/>
      <c r="B51" s="33" t="s">
        <v>21</v>
      </c>
      <c r="C51" s="66"/>
      <c r="D51" s="66"/>
      <c r="E51" s="66"/>
      <c r="F51" s="67"/>
      <c r="G51" s="53">
        <f>SUM(G45:G50)</f>
        <v>2146356.8763603689</v>
      </c>
      <c r="H51" s="185">
        <f t="shared" ref="H51:U51" si="43">SUM(H45:H50)</f>
        <v>0</v>
      </c>
      <c r="I51" s="58">
        <f t="shared" si="43"/>
        <v>123140.375</v>
      </c>
      <c r="J51" s="58">
        <f t="shared" si="43"/>
        <v>180982.83156250001</v>
      </c>
      <c r="K51" s="212">
        <f t="shared" si="43"/>
        <v>126209.40611484376</v>
      </c>
      <c r="L51" s="185">
        <f t="shared" si="43"/>
        <v>190161.82072185352</v>
      </c>
      <c r="M51" s="58">
        <f t="shared" si="43"/>
        <v>182109.27758448597</v>
      </c>
      <c r="N51" s="58">
        <f t="shared" si="43"/>
        <v>142043.06494221446</v>
      </c>
      <c r="O51" s="212">
        <f t="shared" si="43"/>
        <v>110710.06857870321</v>
      </c>
      <c r="P51" s="185">
        <f t="shared" si="43"/>
        <v>181375.03185576803</v>
      </c>
      <c r="Q51" s="58">
        <f t="shared" si="43"/>
        <v>55687.5</v>
      </c>
      <c r="R51" s="58">
        <f t="shared" si="43"/>
        <v>55687.5</v>
      </c>
      <c r="S51" s="212">
        <f t="shared" si="43"/>
        <v>111375</v>
      </c>
      <c r="T51" s="185">
        <f t="shared" si="43"/>
        <v>125687.5</v>
      </c>
      <c r="U51" s="58">
        <f t="shared" si="43"/>
        <v>55687.5</v>
      </c>
      <c r="V51" s="58">
        <f t="shared" ref="V51:AD51" si="44">SUM(V45:V50)</f>
        <v>55687.5</v>
      </c>
      <c r="W51" s="212">
        <f t="shared" si="44"/>
        <v>111375</v>
      </c>
      <c r="X51" s="147">
        <f t="shared" si="44"/>
        <v>85687.5</v>
      </c>
      <c r="Y51" s="58">
        <f t="shared" si="44"/>
        <v>55687.5</v>
      </c>
      <c r="Z51" s="58">
        <f t="shared" si="44"/>
        <v>111375</v>
      </c>
      <c r="AA51" s="59">
        <f t="shared" si="44"/>
        <v>55687.5</v>
      </c>
      <c r="AB51" s="185">
        <f t="shared" si="44"/>
        <v>30000</v>
      </c>
      <c r="AC51" s="58">
        <f t="shared" si="44"/>
        <v>0</v>
      </c>
      <c r="AD51" s="58">
        <f t="shared" si="44"/>
        <v>0</v>
      </c>
      <c r="AE51" s="275">
        <f t="shared" si="27"/>
        <v>2146356.8763603689</v>
      </c>
    </row>
    <row r="52" spans="1:32" x14ac:dyDescent="0.25">
      <c r="B52" s="68"/>
      <c r="C52" s="35"/>
      <c r="D52" s="35"/>
      <c r="E52" s="27"/>
      <c r="F52" s="29"/>
      <c r="G52" s="24"/>
      <c r="H52" s="154"/>
      <c r="I52" s="21"/>
      <c r="J52" s="21"/>
      <c r="K52" s="199"/>
      <c r="L52" s="154"/>
      <c r="M52" s="21"/>
      <c r="N52" s="21"/>
      <c r="O52" s="199"/>
      <c r="P52" s="154"/>
      <c r="Q52" s="21"/>
      <c r="R52" s="21"/>
      <c r="S52" s="199"/>
      <c r="T52" s="154"/>
      <c r="U52" s="21"/>
      <c r="V52" s="21"/>
      <c r="W52" s="199"/>
      <c r="X52" s="149"/>
      <c r="Y52" s="21"/>
      <c r="Z52" s="21"/>
      <c r="AA52" s="22"/>
      <c r="AB52" s="154"/>
      <c r="AC52" s="21"/>
      <c r="AD52" s="21"/>
      <c r="AE52" s="275">
        <f t="shared" si="27"/>
        <v>0</v>
      </c>
      <c r="AF52"/>
    </row>
    <row r="53" spans="1:32" s="96" customFormat="1" x14ac:dyDescent="0.25">
      <c r="A53" s="115"/>
      <c r="B53" s="23" t="s">
        <v>22</v>
      </c>
      <c r="C53" s="18"/>
      <c r="D53" s="61"/>
      <c r="E53" s="61"/>
      <c r="F53" s="62"/>
      <c r="G53" s="117">
        <v>7000000</v>
      </c>
      <c r="H53" s="186"/>
      <c r="I53" s="187"/>
      <c r="J53" s="187"/>
      <c r="K53" s="213"/>
      <c r="L53" s="186"/>
      <c r="M53" s="187"/>
      <c r="N53" s="187"/>
      <c r="O53" s="213"/>
      <c r="P53" s="186"/>
      <c r="Q53" s="187"/>
      <c r="R53" s="187"/>
      <c r="S53" s="213"/>
      <c r="T53" s="186"/>
      <c r="U53" s="187"/>
      <c r="V53" s="187"/>
      <c r="W53" s="213"/>
      <c r="X53" s="231"/>
      <c r="Y53" s="187"/>
      <c r="Z53" s="187"/>
      <c r="AA53" s="264"/>
      <c r="AB53" s="186"/>
      <c r="AC53" s="187"/>
      <c r="AD53" s="187"/>
      <c r="AE53" s="275">
        <f t="shared" si="27"/>
        <v>0</v>
      </c>
    </row>
    <row r="54" spans="1:32" x14ac:dyDescent="0.25">
      <c r="B54" s="26"/>
      <c r="C54" s="27"/>
      <c r="D54" s="35"/>
      <c r="E54" s="27"/>
      <c r="F54" s="29"/>
      <c r="G54" s="24"/>
      <c r="H54" s="154"/>
      <c r="I54" s="21"/>
      <c r="J54" s="21"/>
      <c r="K54" s="199"/>
      <c r="L54" s="154"/>
      <c r="M54" s="21"/>
      <c r="N54" s="21"/>
      <c r="O54" s="199"/>
      <c r="P54" s="154"/>
      <c r="Q54" s="21"/>
      <c r="R54" s="21"/>
      <c r="S54" s="199"/>
      <c r="T54" s="154"/>
      <c r="U54" s="21"/>
      <c r="V54" s="21"/>
      <c r="W54" s="199"/>
      <c r="X54" s="149"/>
      <c r="Y54" s="21"/>
      <c r="Z54" s="21"/>
      <c r="AA54" s="22"/>
      <c r="AB54" s="154"/>
      <c r="AC54" s="21"/>
      <c r="AD54" s="21"/>
      <c r="AE54" s="275">
        <f t="shared" si="27"/>
        <v>0</v>
      </c>
      <c r="AF54"/>
    </row>
    <row r="55" spans="1:32" s="39" customFormat="1" x14ac:dyDescent="0.25">
      <c r="A55" s="142"/>
      <c r="B55" s="23" t="s">
        <v>23</v>
      </c>
      <c r="C55" s="18"/>
      <c r="D55" s="18"/>
      <c r="E55" s="18"/>
      <c r="F55" s="19"/>
      <c r="G55" s="38">
        <f t="shared" ref="G55:AD55" si="45">+G53+G51+G42</f>
        <v>18856356.876360368</v>
      </c>
      <c r="H55" s="185">
        <f t="shared" si="45"/>
        <v>0</v>
      </c>
      <c r="I55" s="58">
        <f t="shared" si="45"/>
        <v>123140.375</v>
      </c>
      <c r="J55" s="58">
        <f t="shared" si="45"/>
        <v>552232.83156249998</v>
      </c>
      <c r="K55" s="212">
        <f t="shared" si="45"/>
        <v>868709.40611484379</v>
      </c>
      <c r="L55" s="185">
        <f t="shared" si="45"/>
        <v>561411.82072185352</v>
      </c>
      <c r="M55" s="58">
        <f t="shared" si="45"/>
        <v>678359.27758448594</v>
      </c>
      <c r="N55" s="58">
        <f t="shared" si="45"/>
        <v>1209543.0649422144</v>
      </c>
      <c r="O55" s="212">
        <f t="shared" si="45"/>
        <v>831960.06857870321</v>
      </c>
      <c r="P55" s="185">
        <f t="shared" si="45"/>
        <v>552625.03185576806</v>
      </c>
      <c r="Q55" s="58">
        <f t="shared" si="45"/>
        <v>798187.5</v>
      </c>
      <c r="R55" s="58">
        <f t="shared" si="45"/>
        <v>426937.5</v>
      </c>
      <c r="S55" s="212">
        <f t="shared" si="45"/>
        <v>482625</v>
      </c>
      <c r="T55" s="185">
        <f t="shared" si="45"/>
        <v>868187.5</v>
      </c>
      <c r="U55" s="58">
        <f t="shared" si="45"/>
        <v>426937.5</v>
      </c>
      <c r="V55" s="58">
        <f t="shared" si="45"/>
        <v>426937.5</v>
      </c>
      <c r="W55" s="212">
        <f t="shared" si="45"/>
        <v>853875</v>
      </c>
      <c r="X55" s="147">
        <f t="shared" si="45"/>
        <v>456937.5</v>
      </c>
      <c r="Y55" s="58">
        <f t="shared" si="45"/>
        <v>426937.5</v>
      </c>
      <c r="Z55" s="58">
        <f t="shared" si="45"/>
        <v>853875</v>
      </c>
      <c r="AA55" s="59">
        <f t="shared" si="45"/>
        <v>426937.5</v>
      </c>
      <c r="AB55" s="185">
        <f t="shared" si="45"/>
        <v>30000</v>
      </c>
      <c r="AC55" s="58">
        <f t="shared" si="45"/>
        <v>0</v>
      </c>
      <c r="AD55" s="58">
        <f t="shared" si="45"/>
        <v>0</v>
      </c>
      <c r="AE55" s="275">
        <f t="shared" si="27"/>
        <v>11856356.87636037</v>
      </c>
    </row>
    <row r="56" spans="1:32" x14ac:dyDescent="0.25">
      <c r="B56" s="26"/>
      <c r="C56" s="27"/>
      <c r="D56" s="35"/>
      <c r="E56" s="27"/>
      <c r="F56" s="29"/>
      <c r="G56" s="24"/>
      <c r="H56" s="154"/>
      <c r="I56" s="21"/>
      <c r="J56" s="21"/>
      <c r="K56" s="199"/>
      <c r="L56" s="154"/>
      <c r="M56" s="21"/>
      <c r="N56" s="21"/>
      <c r="O56" s="199"/>
      <c r="P56" s="154"/>
      <c r="Q56" s="21"/>
      <c r="R56" s="21"/>
      <c r="S56" s="199"/>
      <c r="T56" s="154"/>
      <c r="U56" s="21"/>
      <c r="V56" s="21"/>
      <c r="W56" s="199"/>
      <c r="X56" s="149"/>
      <c r="Y56" s="21"/>
      <c r="Z56" s="21"/>
      <c r="AA56" s="22"/>
      <c r="AB56" s="154"/>
      <c r="AC56" s="21"/>
      <c r="AD56" s="21"/>
      <c r="AE56" s="275">
        <f t="shared" si="27"/>
        <v>0</v>
      </c>
      <c r="AF56"/>
    </row>
    <row r="57" spans="1:32" s="39" customFormat="1" x14ac:dyDescent="0.25">
      <c r="A57" s="142"/>
      <c r="B57" s="33" t="s">
        <v>24</v>
      </c>
      <c r="C57" s="66"/>
      <c r="D57" s="66"/>
      <c r="E57" s="66"/>
      <c r="F57" s="67"/>
      <c r="G57" s="53"/>
      <c r="H57" s="185"/>
      <c r="I57" s="58"/>
      <c r="J57" s="58"/>
      <c r="K57" s="212"/>
      <c r="L57" s="185"/>
      <c r="M57" s="58"/>
      <c r="N57" s="58"/>
      <c r="O57" s="212"/>
      <c r="P57" s="185"/>
      <c r="Q57" s="58"/>
      <c r="R57" s="58"/>
      <c r="S57" s="212"/>
      <c r="T57" s="185"/>
      <c r="U57" s="58"/>
      <c r="V57" s="58"/>
      <c r="W57" s="212"/>
      <c r="X57" s="147"/>
      <c r="Y57" s="58"/>
      <c r="Z57" s="58"/>
      <c r="AA57" s="59"/>
      <c r="AB57" s="185"/>
      <c r="AC57" s="58"/>
      <c r="AD57" s="58"/>
      <c r="AE57" s="275">
        <f t="shared" si="27"/>
        <v>0</v>
      </c>
    </row>
    <row r="58" spans="1:32" s="111" customFormat="1" x14ac:dyDescent="0.25">
      <c r="A58" s="142"/>
      <c r="B58" s="91"/>
      <c r="C58" s="98" t="s">
        <v>25</v>
      </c>
      <c r="D58" s="98"/>
      <c r="E58" s="98"/>
      <c r="F58" s="110"/>
      <c r="G58" s="112">
        <f>G26-G55</f>
        <v>21537234.372653548</v>
      </c>
      <c r="H58" s="188">
        <f t="shared" ref="H58:AD58" si="46">+H26-H55</f>
        <v>0</v>
      </c>
      <c r="I58" s="189">
        <f t="shared" si="46"/>
        <v>-123140.375</v>
      </c>
      <c r="J58" s="189">
        <f t="shared" si="46"/>
        <v>-552232.83156249998</v>
      </c>
      <c r="K58" s="214">
        <f t="shared" si="46"/>
        <v>-868709.40611484379</v>
      </c>
      <c r="L58" s="188">
        <f t="shared" si="46"/>
        <v>3642288.1792781465</v>
      </c>
      <c r="M58" s="189">
        <f t="shared" si="46"/>
        <v>-678359.27758448594</v>
      </c>
      <c r="N58" s="189">
        <f t="shared" si="46"/>
        <v>-1209543.0649422144</v>
      </c>
      <c r="O58" s="214">
        <f t="shared" si="46"/>
        <v>3563780.9555962961</v>
      </c>
      <c r="P58" s="188">
        <f t="shared" si="46"/>
        <v>2447374.9681442319</v>
      </c>
      <c r="Q58" s="189">
        <f t="shared" si="46"/>
        <v>-473187.5</v>
      </c>
      <c r="R58" s="189">
        <f t="shared" si="46"/>
        <v>4334616.6702676499</v>
      </c>
      <c r="S58" s="214">
        <f t="shared" si="46"/>
        <v>-317625</v>
      </c>
      <c r="T58" s="188">
        <f t="shared" si="46"/>
        <v>2924544.5</v>
      </c>
      <c r="U58" s="189">
        <f t="shared" si="46"/>
        <v>4544602.6345524499</v>
      </c>
      <c r="V58" s="189">
        <f t="shared" si="46"/>
        <v>-261937.5</v>
      </c>
      <c r="W58" s="214">
        <f t="shared" si="46"/>
        <v>1869103</v>
      </c>
      <c r="X58" s="232">
        <f t="shared" si="46"/>
        <v>4734180.4164585872</v>
      </c>
      <c r="Y58" s="189">
        <f t="shared" si="46"/>
        <v>-426937.5</v>
      </c>
      <c r="Z58" s="189">
        <f t="shared" si="46"/>
        <v>-688875</v>
      </c>
      <c r="AA58" s="265">
        <f t="shared" si="46"/>
        <v>5712291.003560232</v>
      </c>
      <c r="AB58" s="188">
        <f t="shared" si="46"/>
        <v>135000</v>
      </c>
      <c r="AC58" s="189">
        <f t="shared" si="46"/>
        <v>0</v>
      </c>
      <c r="AD58" s="189">
        <f t="shared" si="46"/>
        <v>230000</v>
      </c>
      <c r="AE58" s="275">
        <f>SUM(H58:AD58)-G53</f>
        <v>21537234.872653551</v>
      </c>
    </row>
    <row r="59" spans="1:32" s="75" customFormat="1" ht="13.8" thickBot="1" x14ac:dyDescent="0.3">
      <c r="A59" s="142"/>
      <c r="B59" s="69"/>
      <c r="C59" s="70"/>
      <c r="D59" s="71"/>
      <c r="E59" s="70"/>
      <c r="F59" s="72"/>
      <c r="G59" s="34"/>
      <c r="H59" s="154"/>
      <c r="I59" s="21"/>
      <c r="J59" s="21"/>
      <c r="K59" s="199"/>
      <c r="L59" s="154"/>
      <c r="M59" s="21"/>
      <c r="N59" s="21"/>
      <c r="O59" s="199"/>
      <c r="P59" s="154"/>
      <c r="Q59" s="21"/>
      <c r="R59" s="21"/>
      <c r="S59" s="199"/>
      <c r="T59" s="154"/>
      <c r="U59" s="21"/>
      <c r="V59" s="21"/>
      <c r="W59" s="199"/>
      <c r="X59" s="149"/>
      <c r="Y59" s="21"/>
      <c r="Z59" s="21"/>
      <c r="AA59" s="22"/>
      <c r="AB59" s="154"/>
      <c r="AC59" s="21"/>
      <c r="AD59" s="21"/>
      <c r="AE59" s="268"/>
    </row>
    <row r="60" spans="1:32" s="76" customFormat="1" x14ac:dyDescent="0.25">
      <c r="A60" s="142"/>
      <c r="B60" s="10"/>
      <c r="C60" s="11"/>
      <c r="D60" s="12"/>
      <c r="E60" s="11"/>
      <c r="F60" s="13"/>
      <c r="G60" s="14"/>
      <c r="H60" s="215"/>
      <c r="I60" s="22"/>
      <c r="J60" s="22"/>
      <c r="K60" s="199"/>
      <c r="L60" s="154"/>
      <c r="M60" s="21"/>
      <c r="N60" s="21"/>
      <c r="O60" s="199"/>
      <c r="P60" s="154"/>
      <c r="Q60" s="21"/>
      <c r="R60" s="21"/>
      <c r="S60" s="199"/>
      <c r="T60" s="154"/>
      <c r="U60" s="21"/>
      <c r="V60" s="21"/>
      <c r="W60" s="199"/>
      <c r="X60" s="149"/>
      <c r="Y60" s="21"/>
      <c r="Z60" s="21"/>
      <c r="AA60" s="22"/>
      <c r="AB60" s="154"/>
      <c r="AC60" s="21"/>
      <c r="AD60" s="21"/>
      <c r="AE60" s="268"/>
    </row>
    <row r="61" spans="1:32" s="7" customFormat="1" x14ac:dyDescent="0.25">
      <c r="A61" s="142"/>
      <c r="B61" s="23" t="s">
        <v>26</v>
      </c>
      <c r="C61" s="18"/>
      <c r="D61" s="18"/>
      <c r="E61" s="18"/>
      <c r="F61" s="19"/>
      <c r="G61" s="38"/>
      <c r="H61" s="216"/>
      <c r="I61" s="59"/>
      <c r="J61" s="59"/>
      <c r="K61" s="212"/>
      <c r="L61" s="185"/>
      <c r="M61" s="58"/>
      <c r="N61" s="58"/>
      <c r="O61" s="212"/>
      <c r="P61" s="185"/>
      <c r="Q61" s="58"/>
      <c r="R61" s="58"/>
      <c r="S61" s="212"/>
      <c r="T61" s="185"/>
      <c r="U61" s="58"/>
      <c r="V61" s="58"/>
      <c r="W61" s="212"/>
      <c r="X61" s="147"/>
      <c r="Y61" s="58"/>
      <c r="Z61" s="58"/>
      <c r="AA61" s="59"/>
      <c r="AB61" s="185"/>
      <c r="AC61" s="58"/>
      <c r="AD61" s="58"/>
      <c r="AE61" s="276"/>
    </row>
    <row r="62" spans="1:32" s="7" customFormat="1" x14ac:dyDescent="0.25">
      <c r="A62" s="142"/>
      <c r="B62" s="23" t="s">
        <v>41</v>
      </c>
      <c r="C62" s="18"/>
      <c r="D62" s="18"/>
      <c r="E62" s="18"/>
      <c r="F62" s="19"/>
      <c r="G62" s="38"/>
      <c r="H62" s="216"/>
      <c r="I62" s="59"/>
      <c r="J62" s="59">
        <v>500000</v>
      </c>
      <c r="K62" s="212"/>
      <c r="L62" s="185"/>
      <c r="M62" s="58"/>
      <c r="N62" s="58"/>
      <c r="O62" s="212"/>
      <c r="P62" s="185"/>
      <c r="Q62" s="58"/>
      <c r="R62" s="58">
        <v>-500000</v>
      </c>
      <c r="S62" s="212"/>
      <c r="T62" s="185"/>
      <c r="U62" s="58"/>
      <c r="V62" s="58"/>
      <c r="W62" s="212"/>
      <c r="X62" s="147"/>
      <c r="Y62" s="58"/>
      <c r="Z62" s="58"/>
      <c r="AA62" s="59"/>
      <c r="AB62" s="185"/>
      <c r="AC62" s="58"/>
      <c r="AD62" s="58"/>
      <c r="AE62" s="276"/>
    </row>
    <row r="63" spans="1:32" s="7" customFormat="1" x14ac:dyDescent="0.25">
      <c r="A63" s="142"/>
      <c r="B63" s="135" t="s">
        <v>27</v>
      </c>
      <c r="C63" s="136"/>
      <c r="D63" s="136"/>
      <c r="E63" s="18"/>
      <c r="F63" s="19"/>
      <c r="G63" s="38">
        <v>3145550</v>
      </c>
      <c r="H63" s="151">
        <v>3145550</v>
      </c>
      <c r="I63" s="152">
        <f>H63+H63*0.01</f>
        <v>3177005.5</v>
      </c>
      <c r="J63" s="152">
        <f t="shared" ref="J63:P63" si="47">I63+I63*0.01</f>
        <v>3208775.5550000002</v>
      </c>
      <c r="K63" s="217">
        <f t="shared" si="47"/>
        <v>3240863.3105500001</v>
      </c>
      <c r="L63" s="151">
        <f t="shared" si="47"/>
        <v>3273271.9436555002</v>
      </c>
      <c r="M63" s="152">
        <f t="shared" si="47"/>
        <v>3306004.6630920554</v>
      </c>
      <c r="N63" s="152">
        <f t="shared" si="47"/>
        <v>3339064.7097229757</v>
      </c>
      <c r="O63" s="217">
        <f t="shared" si="47"/>
        <v>3372455.3568202057</v>
      </c>
      <c r="P63" s="151">
        <f t="shared" si="47"/>
        <v>3406179.9103884078</v>
      </c>
      <c r="Q63" s="152">
        <f>(P63+P63*0.01)-2000000</f>
        <v>1440241.7094922918</v>
      </c>
      <c r="R63" s="152">
        <f>(Q63+Q63*0.01)</f>
        <v>1454644.1265872146</v>
      </c>
      <c r="S63" s="217"/>
      <c r="T63" s="151"/>
      <c r="U63" s="152"/>
      <c r="V63" s="152"/>
      <c r="W63" s="217"/>
      <c r="X63" s="233"/>
      <c r="Y63" s="152"/>
      <c r="Z63" s="152"/>
      <c r="AA63" s="153"/>
      <c r="AB63" s="151"/>
      <c r="AC63" s="152"/>
      <c r="AD63" s="152"/>
      <c r="AE63" s="276"/>
    </row>
    <row r="64" spans="1:32" s="7" customFormat="1" x14ac:dyDescent="0.25">
      <c r="A64" s="142"/>
      <c r="B64" s="135" t="s">
        <v>35</v>
      </c>
      <c r="C64" s="136"/>
      <c r="D64" s="136"/>
      <c r="E64" s="18"/>
      <c r="F64" s="19"/>
      <c r="G64" s="38"/>
      <c r="H64" s="216">
        <f>G53-H63</f>
        <v>3854450</v>
      </c>
      <c r="I64" s="59">
        <f t="shared" ref="I64:K64" si="48">H64-I66-I67</f>
        <v>3977590.375</v>
      </c>
      <c r="J64" s="59">
        <f t="shared" si="48"/>
        <v>4029823.2065625004</v>
      </c>
      <c r="K64" s="212">
        <f t="shared" si="48"/>
        <v>4898532.6126773441</v>
      </c>
      <c r="L64" s="185">
        <f>K64-L66-L67</f>
        <v>1256244.4333991976</v>
      </c>
      <c r="M64" s="58">
        <f t="shared" ref="M64:O64" si="49">L64-M66-M67</f>
        <v>1934603.7109836836</v>
      </c>
      <c r="N64" s="58">
        <f t="shared" si="49"/>
        <v>3144146.775925898</v>
      </c>
      <c r="O64" s="212">
        <f t="shared" si="49"/>
        <v>1.8203296018764377</v>
      </c>
      <c r="P64" s="185"/>
      <c r="Q64" s="58"/>
      <c r="R64" s="58"/>
      <c r="S64" s="212"/>
      <c r="T64" s="185"/>
      <c r="U64" s="58"/>
      <c r="V64" s="58"/>
      <c r="W64" s="212"/>
      <c r="X64" s="147"/>
      <c r="Y64" s="58"/>
      <c r="Z64" s="58"/>
      <c r="AA64" s="59"/>
      <c r="AB64" s="185"/>
      <c r="AC64" s="58"/>
      <c r="AD64" s="58"/>
      <c r="AE64" s="276"/>
    </row>
    <row r="65" spans="1:32" s="7" customFormat="1" x14ac:dyDescent="0.25">
      <c r="A65" s="142"/>
      <c r="B65" s="23" t="s">
        <v>28</v>
      </c>
      <c r="C65" s="18"/>
      <c r="D65" s="18"/>
      <c r="E65" s="18"/>
      <c r="F65" s="19"/>
      <c r="G65" s="38"/>
      <c r="H65" s="216"/>
      <c r="I65" s="59"/>
      <c r="J65" s="59"/>
      <c r="K65" s="212"/>
      <c r="L65" s="185"/>
      <c r="M65" s="58"/>
      <c r="N65" s="58"/>
      <c r="O65" s="212"/>
      <c r="P65" s="185"/>
      <c r="Q65" s="58"/>
      <c r="R65" s="58"/>
      <c r="S65" s="212"/>
      <c r="T65" s="185"/>
      <c r="U65" s="58"/>
      <c r="V65" s="58"/>
      <c r="W65" s="212"/>
      <c r="X65" s="147"/>
      <c r="Y65" s="58"/>
      <c r="Z65" s="58"/>
      <c r="AA65" s="59"/>
      <c r="AB65" s="185"/>
      <c r="AC65" s="58"/>
      <c r="AD65" s="58"/>
      <c r="AE65" s="276"/>
    </row>
    <row r="66" spans="1:32" s="2" customFormat="1" x14ac:dyDescent="0.25">
      <c r="A66" s="142"/>
      <c r="B66" s="137"/>
      <c r="C66" s="133" t="s">
        <v>29</v>
      </c>
      <c r="D66" s="100"/>
      <c r="E66" s="42"/>
      <c r="F66" s="43"/>
      <c r="G66" s="105">
        <f>SUM(H66:U66)-G64</f>
        <v>-8679806.8445046004</v>
      </c>
      <c r="H66" s="218">
        <v>-3854450</v>
      </c>
      <c r="I66" s="22">
        <f t="shared" ref="I66:L66" si="50">-I55</f>
        <v>-123140.375</v>
      </c>
      <c r="J66" s="22">
        <f t="shared" si="50"/>
        <v>-552232.83156249998</v>
      </c>
      <c r="K66" s="199">
        <f t="shared" si="50"/>
        <v>-868709.40611484379</v>
      </c>
      <c r="L66" s="154">
        <f t="shared" si="50"/>
        <v>-561411.82072185352</v>
      </c>
      <c r="M66" s="21">
        <f t="shared" ref="M66:O66" si="51">-M55</f>
        <v>-678359.27758448594</v>
      </c>
      <c r="N66" s="21">
        <f t="shared" si="51"/>
        <v>-1209543.0649422144</v>
      </c>
      <c r="O66" s="199">
        <f t="shared" si="51"/>
        <v>-831960.06857870321</v>
      </c>
      <c r="P66" s="154"/>
      <c r="Q66" s="21"/>
      <c r="R66" s="21"/>
      <c r="S66" s="199"/>
      <c r="T66" s="154"/>
      <c r="U66" s="21"/>
      <c r="V66" s="21"/>
      <c r="W66" s="199"/>
      <c r="X66" s="149"/>
      <c r="Y66" s="21"/>
      <c r="Z66" s="21"/>
      <c r="AA66" s="22"/>
      <c r="AB66" s="154"/>
      <c r="AC66" s="21"/>
      <c r="AD66" s="21"/>
      <c r="AE66" s="276"/>
    </row>
    <row r="67" spans="1:32" s="90" customFormat="1" x14ac:dyDescent="0.25">
      <c r="A67" s="142"/>
      <c r="B67" s="137"/>
      <c r="C67" s="133" t="s">
        <v>30</v>
      </c>
      <c r="D67" s="87"/>
      <c r="E67" s="84"/>
      <c r="F67" s="88"/>
      <c r="G67" s="99">
        <f>SUM(H67:U67)</f>
        <v>8679805.0241749994</v>
      </c>
      <c r="H67" s="190"/>
      <c r="I67" s="89"/>
      <c r="J67" s="89">
        <v>500000</v>
      </c>
      <c r="K67" s="219">
        <f>K26</f>
        <v>0</v>
      </c>
      <c r="L67" s="190">
        <f>L26</f>
        <v>4203700</v>
      </c>
      <c r="M67" s="89">
        <f>M26</f>
        <v>0</v>
      </c>
      <c r="N67" s="89">
        <f>N26</f>
        <v>0</v>
      </c>
      <c r="O67" s="219">
        <f>O26-419636</f>
        <v>3976105.0241749994</v>
      </c>
      <c r="P67" s="190"/>
      <c r="Q67" s="89"/>
      <c r="R67" s="89"/>
      <c r="S67" s="219"/>
      <c r="T67" s="190"/>
      <c r="U67" s="89"/>
      <c r="V67" s="89"/>
      <c r="W67" s="219"/>
      <c r="X67" s="148"/>
      <c r="Y67" s="89"/>
      <c r="Z67" s="89"/>
      <c r="AA67" s="132"/>
      <c r="AB67" s="190"/>
      <c r="AC67" s="89"/>
      <c r="AD67" s="89"/>
      <c r="AE67" s="277"/>
    </row>
    <row r="68" spans="1:32" s="2" customFormat="1" x14ac:dyDescent="0.25">
      <c r="A68" s="142"/>
      <c r="B68" s="101"/>
      <c r="C68" s="42"/>
      <c r="D68" s="100"/>
      <c r="E68" s="42"/>
      <c r="F68" s="43"/>
      <c r="G68" s="20"/>
      <c r="H68" s="215"/>
      <c r="I68" s="22"/>
      <c r="J68" s="22"/>
      <c r="K68" s="199"/>
      <c r="L68" s="154"/>
      <c r="M68" s="21"/>
      <c r="N68" s="21"/>
      <c r="O68" s="199"/>
      <c r="P68" s="154"/>
      <c r="Q68" s="21"/>
      <c r="R68" s="21"/>
      <c r="S68" s="199"/>
      <c r="T68" s="154"/>
      <c r="U68" s="21"/>
      <c r="V68" s="21"/>
      <c r="W68" s="199"/>
      <c r="X68" s="149"/>
      <c r="Y68" s="21"/>
      <c r="Z68" s="21"/>
      <c r="AA68" s="22"/>
      <c r="AB68" s="154"/>
      <c r="AC68" s="21"/>
      <c r="AD68" s="21"/>
      <c r="AE68" s="278"/>
    </row>
    <row r="69" spans="1:32" s="2" customFormat="1" x14ac:dyDescent="0.25">
      <c r="A69" s="142"/>
      <c r="B69" s="101"/>
      <c r="C69" s="42"/>
      <c r="D69" s="100"/>
      <c r="E69" s="42"/>
      <c r="F69" s="43"/>
      <c r="G69" s="93"/>
      <c r="H69" s="215"/>
      <c r="I69" s="22"/>
      <c r="J69" s="22"/>
      <c r="K69" s="199"/>
      <c r="L69" s="154"/>
      <c r="M69" s="21"/>
      <c r="N69" s="21"/>
      <c r="O69" s="199"/>
      <c r="P69" s="154"/>
      <c r="Q69" s="21"/>
      <c r="R69" s="21"/>
      <c r="S69" s="199"/>
      <c r="T69" s="154"/>
      <c r="U69" s="21"/>
      <c r="V69" s="21"/>
      <c r="W69" s="199"/>
      <c r="X69" s="149"/>
      <c r="Y69" s="21"/>
      <c r="Z69" s="21"/>
      <c r="AA69" s="22"/>
      <c r="AB69" s="154"/>
      <c r="AC69" s="21"/>
      <c r="AD69" s="21"/>
      <c r="AE69" s="276"/>
    </row>
    <row r="70" spans="1:32" s="7" customFormat="1" x14ac:dyDescent="0.25">
      <c r="A70" s="142"/>
      <c r="B70" s="23"/>
      <c r="C70" s="18"/>
      <c r="D70" s="18"/>
      <c r="E70" s="18"/>
      <c r="F70" s="19"/>
      <c r="G70" s="38"/>
      <c r="H70" s="216"/>
      <c r="I70" s="59"/>
      <c r="J70" s="59"/>
      <c r="K70" s="212"/>
      <c r="L70" s="185"/>
      <c r="M70" s="58"/>
      <c r="N70" s="58"/>
      <c r="O70" s="212"/>
      <c r="P70" s="185"/>
      <c r="Q70" s="58"/>
      <c r="R70" s="58"/>
      <c r="S70" s="212"/>
      <c r="T70" s="185"/>
      <c r="U70" s="58"/>
      <c r="V70" s="58"/>
      <c r="W70" s="212"/>
      <c r="X70" s="147"/>
      <c r="Y70" s="58"/>
      <c r="Z70" s="58"/>
      <c r="AA70" s="59"/>
      <c r="AB70" s="185"/>
      <c r="AC70" s="58"/>
      <c r="AD70" s="58"/>
      <c r="AE70" s="276"/>
    </row>
    <row r="71" spans="1:32" s="7" customFormat="1" x14ac:dyDescent="0.25">
      <c r="A71" s="142"/>
      <c r="B71" s="135" t="s">
        <v>31</v>
      </c>
      <c r="C71" s="136"/>
      <c r="D71" s="136"/>
      <c r="E71" s="18"/>
      <c r="F71" s="19"/>
      <c r="G71" s="38"/>
      <c r="H71" s="185"/>
      <c r="I71" s="58"/>
      <c r="J71" s="58"/>
      <c r="K71" s="212"/>
      <c r="L71" s="185"/>
      <c r="M71" s="58"/>
      <c r="N71" s="58"/>
      <c r="O71" s="212">
        <f>O26-O67</f>
        <v>419636</v>
      </c>
      <c r="P71" s="185">
        <f>P58-2000000</f>
        <v>447374.96814423194</v>
      </c>
      <c r="Q71" s="58">
        <f>Q58</f>
        <v>-473187.5</v>
      </c>
      <c r="R71" s="58">
        <f>R58+R62-R63</f>
        <v>2379972.543680435</v>
      </c>
      <c r="S71" s="212">
        <f>S58</f>
        <v>-317625</v>
      </c>
      <c r="T71" s="185">
        <f>T58</f>
        <v>2924544.5</v>
      </c>
      <c r="U71" s="58">
        <f>U58</f>
        <v>4544602.6345524499</v>
      </c>
      <c r="V71" s="58">
        <f t="shared" ref="V71" si="52">V58</f>
        <v>-261937.5</v>
      </c>
      <c r="W71" s="212">
        <f t="shared" ref="W71:AD71" si="53">W58</f>
        <v>1869103</v>
      </c>
      <c r="X71" s="147">
        <f t="shared" si="53"/>
        <v>4734180.4164585872</v>
      </c>
      <c r="Y71" s="58">
        <f t="shared" si="53"/>
        <v>-426937.5</v>
      </c>
      <c r="Z71" s="58">
        <f t="shared" si="53"/>
        <v>-688875</v>
      </c>
      <c r="AA71" s="59">
        <f t="shared" si="53"/>
        <v>5712291.003560232</v>
      </c>
      <c r="AB71" s="185">
        <f t="shared" si="53"/>
        <v>135000</v>
      </c>
      <c r="AC71" s="58">
        <f t="shared" si="53"/>
        <v>0</v>
      </c>
      <c r="AD71" s="58">
        <f t="shared" si="53"/>
        <v>230000</v>
      </c>
      <c r="AE71" s="276"/>
    </row>
    <row r="72" spans="1:32" s="2" customFormat="1" x14ac:dyDescent="0.25">
      <c r="A72" s="142"/>
      <c r="B72" s="137" t="s">
        <v>44</v>
      </c>
      <c r="C72" s="133"/>
      <c r="D72" s="134"/>
      <c r="E72" s="42"/>
      <c r="F72" s="43"/>
      <c r="G72" s="20"/>
      <c r="H72" s="215"/>
      <c r="I72" s="22"/>
      <c r="J72" s="22"/>
      <c r="K72" s="212"/>
      <c r="L72" s="154">
        <f t="shared" ref="L72" si="54">K72+L71</f>
        <v>0</v>
      </c>
      <c r="M72" s="21">
        <f t="shared" ref="M72" si="55">L72+M71</f>
        <v>0</v>
      </c>
      <c r="N72" s="21">
        <f t="shared" ref="N72:U72" si="56">M72+N71</f>
        <v>0</v>
      </c>
      <c r="O72" s="199">
        <f t="shared" ref="O72" si="57">N72+O71</f>
        <v>419636</v>
      </c>
      <c r="P72" s="154">
        <f t="shared" ref="P72" si="58">O72+P71</f>
        <v>867010.96814423194</v>
      </c>
      <c r="Q72" s="21">
        <f t="shared" si="56"/>
        <v>393823.46814423194</v>
      </c>
      <c r="R72" s="21">
        <f t="shared" si="56"/>
        <v>2773796.011824667</v>
      </c>
      <c r="S72" s="199">
        <f t="shared" si="56"/>
        <v>2456171.011824667</v>
      </c>
      <c r="T72" s="154">
        <f t="shared" si="56"/>
        <v>5380715.5118246675</v>
      </c>
      <c r="U72" s="21">
        <f t="shared" si="56"/>
        <v>9925318.1463771164</v>
      </c>
      <c r="V72" s="21">
        <f t="shared" ref="V72" si="59">U72+V71</f>
        <v>9663380.6463771164</v>
      </c>
      <c r="W72" s="199">
        <f t="shared" ref="W72" si="60">V72+W71</f>
        <v>11532483.646377116</v>
      </c>
      <c r="X72" s="149">
        <f t="shared" ref="X72" si="61">W72+X71</f>
        <v>16266664.062835705</v>
      </c>
      <c r="Y72" s="21">
        <f t="shared" ref="Y72" si="62">X72+Y71</f>
        <v>15839726.562835705</v>
      </c>
      <c r="Z72" s="21">
        <f t="shared" ref="Z72" si="63">Y72+Z71</f>
        <v>15150851.562835705</v>
      </c>
      <c r="AA72" s="22">
        <f t="shared" ref="AA72" si="64">Z72+AA71</f>
        <v>20863142.566395938</v>
      </c>
      <c r="AB72" s="154">
        <f t="shared" ref="AB72" si="65">AA72+AB71</f>
        <v>20998142.566395938</v>
      </c>
      <c r="AC72" s="21">
        <f t="shared" ref="AC72" si="66">AB72+AC71</f>
        <v>20998142.566395938</v>
      </c>
      <c r="AD72" s="21">
        <f t="shared" ref="AD72" si="67">AC72+AD71</f>
        <v>21228142.566395938</v>
      </c>
      <c r="AE72" s="276"/>
    </row>
    <row r="73" spans="1:32" s="2" customFormat="1" ht="13.8" thickBot="1" x14ac:dyDescent="0.3">
      <c r="A73" s="142"/>
      <c r="B73" s="138"/>
      <c r="C73" s="139"/>
      <c r="D73" s="140"/>
      <c r="E73" s="106"/>
      <c r="F73" s="107"/>
      <c r="G73" s="108"/>
      <c r="H73" s="220"/>
      <c r="I73" s="74"/>
      <c r="J73" s="74"/>
      <c r="K73" s="221">
        <f>K71/3</f>
        <v>0</v>
      </c>
      <c r="L73" s="191"/>
      <c r="M73" s="73"/>
      <c r="N73" s="73"/>
      <c r="O73" s="221"/>
      <c r="P73" s="191"/>
      <c r="Q73" s="73"/>
      <c r="R73" s="73"/>
      <c r="S73" s="221"/>
      <c r="T73" s="191"/>
      <c r="U73" s="73"/>
      <c r="V73" s="73"/>
      <c r="W73" s="221"/>
      <c r="X73" s="150"/>
      <c r="Y73" s="73"/>
      <c r="Z73" s="73"/>
      <c r="AA73" s="74"/>
      <c r="AB73" s="191"/>
      <c r="AC73" s="73"/>
      <c r="AD73" s="73"/>
      <c r="AE73" s="279"/>
    </row>
    <row r="74" spans="1:32" s="2" customFormat="1" x14ac:dyDescent="0.25">
      <c r="A74" s="142"/>
      <c r="D74" s="3"/>
      <c r="G74" s="109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280"/>
      <c r="AC74" s="86"/>
      <c r="AD74" s="86"/>
      <c r="AE74" s="281"/>
      <c r="AF74" s="95"/>
    </row>
    <row r="75" spans="1:32" x14ac:dyDescent="0.25">
      <c r="B75" s="127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</row>
    <row r="76" spans="1:32" x14ac:dyDescent="0.25">
      <c r="H76" s="78"/>
      <c r="I76" s="78"/>
      <c r="J76" s="78"/>
    </row>
    <row r="77" spans="1:32" x14ac:dyDescent="0.25"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</row>
    <row r="78" spans="1:32" x14ac:dyDescent="0.25">
      <c r="B78" s="79"/>
      <c r="C78" s="80"/>
      <c r="D78" s="80"/>
      <c r="E78" s="80"/>
      <c r="F78" s="80"/>
      <c r="G78" s="32"/>
      <c r="H78" s="31"/>
      <c r="I78" s="31"/>
      <c r="J78" s="31"/>
      <c r="K78" s="32"/>
      <c r="L78" s="31"/>
      <c r="M78" s="32"/>
      <c r="N78" s="32"/>
      <c r="O78" s="32"/>
      <c r="P78" s="31"/>
      <c r="Q78" s="32"/>
      <c r="R78" s="32"/>
      <c r="S78" s="32"/>
      <c r="T78" s="31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</row>
    <row r="79" spans="1:32" x14ac:dyDescent="0.25">
      <c r="C79" s="81"/>
      <c r="D79" s="80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</row>
    <row r="80" spans="1:32" x14ac:dyDescent="0.25">
      <c r="C80" s="82"/>
      <c r="D80" s="80"/>
      <c r="P80" s="312">
        <f>P24/G24</f>
        <v>0.26207310747727336</v>
      </c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</row>
    <row r="81" spans="2:31" x14ac:dyDescent="0.25">
      <c r="C81" s="8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2:31" x14ac:dyDescent="0.25">
      <c r="I82" s="283"/>
    </row>
    <row r="83" spans="2:31" x14ac:dyDescent="0.25">
      <c r="B83" s="79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6" spans="2:31" x14ac:dyDescent="0.25">
      <c r="G86" s="113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</row>
  </sheetData>
  <mergeCells count="7">
    <mergeCell ref="X3:AA3"/>
    <mergeCell ref="AB3:AE3"/>
    <mergeCell ref="G3:G4"/>
    <mergeCell ref="H3:K3"/>
    <mergeCell ref="L3:O3"/>
    <mergeCell ref="P3:S3"/>
    <mergeCell ref="T3:W3"/>
  </mergeCells>
  <phoneticPr fontId="0" type="noConversion"/>
  <pageMargins left="0.17" right="0.16" top="1" bottom="1" header="0.5" footer="0.5"/>
  <pageSetup paperSize="3" scale="60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204 Lots</vt:lpstr>
      <vt:lpstr>Sheet1</vt:lpstr>
      <vt:lpstr>Sheet2</vt:lpstr>
      <vt:lpstr>Sheet3</vt:lpstr>
      <vt:lpstr>'204 Lots'!Print_Area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</dc:creator>
  <cp:lastModifiedBy>techb</cp:lastModifiedBy>
  <cp:lastPrinted>2019-08-06T14:35:50Z</cp:lastPrinted>
  <dcterms:created xsi:type="dcterms:W3CDTF">2013-10-28T19:17:17Z</dcterms:created>
  <dcterms:modified xsi:type="dcterms:W3CDTF">2019-09-10T15:01:30Z</dcterms:modified>
</cp:coreProperties>
</file>