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Sales Energizer\CCTX\Joe Fogarty\6.5M Hardwood Trails\"/>
    </mc:Choice>
  </mc:AlternateContent>
  <xr:revisionPtr revIDLastSave="0" documentId="13_ncr:1_{406FC714-1096-4BDF-8724-DD8B7048C89D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Sheet1!$A$1:$AB$82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60" i="1" l="1"/>
  <c r="L59" i="1" l="1"/>
  <c r="W11" i="1"/>
  <c r="W10" i="1"/>
  <c r="K61" i="1" l="1"/>
  <c r="J61" i="1"/>
  <c r="I61" i="1"/>
  <c r="H61" i="1"/>
  <c r="K17" i="1"/>
  <c r="K19" i="1" s="1"/>
  <c r="V39" i="1"/>
  <c r="V44" i="1" s="1"/>
  <c r="U39" i="1"/>
  <c r="T39" i="1"/>
  <c r="S39" i="1"/>
  <c r="K35" i="1"/>
  <c r="K16" i="1"/>
  <c r="J4" i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63" i="1" l="1"/>
  <c r="W62" i="1"/>
  <c r="I19" i="1" l="1"/>
  <c r="H19" i="1"/>
  <c r="W42" i="1" l="1"/>
  <c r="G42" i="1"/>
  <c r="T17" i="1"/>
  <c r="P17" i="1"/>
  <c r="N17" i="1"/>
  <c r="T16" i="1"/>
  <c r="P16" i="1"/>
  <c r="N16" i="1"/>
  <c r="J19" i="1" l="1"/>
  <c r="G16" i="1"/>
  <c r="G17" i="1"/>
  <c r="W16" i="1"/>
  <c r="N9" i="1"/>
  <c r="N8" i="1"/>
  <c r="W31" i="1" l="1"/>
  <c r="G28" i="1"/>
  <c r="G27" i="1"/>
  <c r="G26" i="1"/>
  <c r="G25" i="1"/>
  <c r="G35" i="1" l="1"/>
  <c r="G38" i="1" s="1"/>
  <c r="E29" i="1"/>
  <c r="W41" i="1" l="1"/>
  <c r="S35" i="1"/>
  <c r="J35" i="1" l="1"/>
  <c r="I35" i="1"/>
  <c r="M12" i="1"/>
  <c r="M13" i="1" s="1"/>
  <c r="M19" i="1" l="1"/>
  <c r="T35" i="1"/>
  <c r="G15" i="1"/>
  <c r="W49" i="1"/>
  <c r="W46" i="1"/>
  <c r="W40" i="1"/>
  <c r="W43" i="1"/>
  <c r="W45" i="1"/>
  <c r="W47" i="1"/>
  <c r="W32" i="1"/>
  <c r="W33" i="1"/>
  <c r="W34" i="1"/>
  <c r="W29" i="1"/>
  <c r="W30" i="1"/>
  <c r="M14" i="1" l="1"/>
  <c r="M61" i="1" s="1"/>
  <c r="M59" i="1" s="1"/>
  <c r="M58" i="1" s="1"/>
  <c r="N58" i="1" s="1"/>
  <c r="V35" i="1"/>
  <c r="V48" i="1" s="1"/>
  <c r="U35" i="1"/>
  <c r="Q35" i="1"/>
  <c r="P35" i="1"/>
  <c r="W26" i="1"/>
  <c r="R35" i="1"/>
  <c r="W28" i="1"/>
  <c r="W25" i="1"/>
  <c r="W27" i="1"/>
  <c r="O9" i="1"/>
  <c r="G41" i="1"/>
  <c r="L12" i="1"/>
  <c r="L19" i="1" s="1"/>
  <c r="H35" i="1"/>
  <c r="L35" i="1"/>
  <c r="M35" i="1"/>
  <c r="N35" i="1"/>
  <c r="O35" i="1"/>
  <c r="L15" i="1"/>
  <c r="M15" i="1" s="1"/>
  <c r="N15" i="1" s="1"/>
  <c r="N12" i="1" l="1"/>
  <c r="O15" i="1"/>
  <c r="N18" i="1"/>
  <c r="P9" i="1"/>
  <c r="Q9" i="1" s="1"/>
  <c r="R9" i="1" s="1"/>
  <c r="S9" i="1" s="1"/>
  <c r="T9" i="1"/>
  <c r="U9" i="1" s="1"/>
  <c r="V9" i="1" s="1"/>
  <c r="O8" i="1"/>
  <c r="O12" i="1" s="1"/>
  <c r="W35" i="1"/>
  <c r="H38" i="1"/>
  <c r="I38" i="1" l="1"/>
  <c r="J38" i="1" s="1"/>
  <c r="K38" i="1" s="1"/>
  <c r="L38" i="1" s="1"/>
  <c r="H44" i="1"/>
  <c r="H56" i="1" s="1"/>
  <c r="N14" i="1"/>
  <c r="O14" i="1"/>
  <c r="P15" i="1"/>
  <c r="O18" i="1"/>
  <c r="T8" i="1"/>
  <c r="T12" i="1" s="1"/>
  <c r="P8" i="1"/>
  <c r="P12" i="1" s="1"/>
  <c r="I56" i="1" l="1"/>
  <c r="M38" i="1"/>
  <c r="N38" i="1" s="1"/>
  <c r="O38" i="1" s="1"/>
  <c r="P38" i="1" s="1"/>
  <c r="Q38" i="1" s="1"/>
  <c r="R38" i="1" s="1"/>
  <c r="S38" i="1" s="1"/>
  <c r="L44" i="1"/>
  <c r="L48" i="1" s="1"/>
  <c r="L51" i="1" s="1"/>
  <c r="N19" i="1"/>
  <c r="O19" i="1"/>
  <c r="H48" i="1"/>
  <c r="I44" i="1"/>
  <c r="P13" i="1"/>
  <c r="P19" i="1" s="1"/>
  <c r="T14" i="1"/>
  <c r="Q15" i="1"/>
  <c r="P18" i="1"/>
  <c r="U8" i="1"/>
  <c r="U12" i="1" s="1"/>
  <c r="Q8" i="1"/>
  <c r="Q12" i="1" s="1"/>
  <c r="H51" i="1"/>
  <c r="I48" i="1" l="1"/>
  <c r="I51" i="1" s="1"/>
  <c r="T38" i="1"/>
  <c r="S44" i="1"/>
  <c r="S48" i="1" s="1"/>
  <c r="T19" i="1"/>
  <c r="P14" i="1"/>
  <c r="Q14" i="1"/>
  <c r="U14" i="1"/>
  <c r="V8" i="1"/>
  <c r="V12" i="1" s="1"/>
  <c r="R15" i="1"/>
  <c r="Q18" i="1"/>
  <c r="R8" i="1"/>
  <c r="R12" i="1" s="1"/>
  <c r="U38" i="1" l="1"/>
  <c r="U44" i="1" s="1"/>
  <c r="U48" i="1" s="1"/>
  <c r="T44" i="1"/>
  <c r="T48" i="1" s="1"/>
  <c r="T51" i="1" s="1"/>
  <c r="Q19" i="1"/>
  <c r="P61" i="1"/>
  <c r="P59" i="1" s="1"/>
  <c r="P58" i="1" s="1"/>
  <c r="U19" i="1"/>
  <c r="U51" i="1" s="1"/>
  <c r="R14" i="1"/>
  <c r="J44" i="1"/>
  <c r="J56" i="1" s="1"/>
  <c r="V13" i="1"/>
  <c r="V14" i="1" s="1"/>
  <c r="S15" i="1"/>
  <c r="R18" i="1"/>
  <c r="S8" i="1"/>
  <c r="J48" i="1" l="1"/>
  <c r="J51" i="1" s="1"/>
  <c r="R19" i="1"/>
  <c r="V19" i="1"/>
  <c r="V51" i="1" s="1"/>
  <c r="T15" i="1"/>
  <c r="U15" i="1" s="1"/>
  <c r="S12" i="1"/>
  <c r="W12" i="1" s="1"/>
  <c r="T18" i="1" l="1"/>
  <c r="S13" i="1"/>
  <c r="S14" i="1" s="1"/>
  <c r="V15" i="1"/>
  <c r="V18" i="1" s="1"/>
  <c r="U18" i="1"/>
  <c r="S18" i="1"/>
  <c r="K44" i="1" l="1"/>
  <c r="K56" i="1" s="1"/>
  <c r="L56" i="1" s="1"/>
  <c r="M56" i="1" s="1"/>
  <c r="M44" i="1"/>
  <c r="S19" i="1"/>
  <c r="S51" i="1" s="1"/>
  <c r="W14" i="1"/>
  <c r="G14" i="1"/>
  <c r="M48" i="1" l="1"/>
  <c r="M51" i="1" s="1"/>
  <c r="W61" i="1"/>
  <c r="K48" i="1"/>
  <c r="K51" i="1" s="1"/>
  <c r="N44" i="1"/>
  <c r="N56" i="1" s="1"/>
  <c r="G12" i="1"/>
  <c r="N48" i="1" l="1"/>
  <c r="N51" i="1" s="1"/>
  <c r="G13" i="1"/>
  <c r="G19" i="1" s="1"/>
  <c r="W13" i="1"/>
  <c r="O44" i="1" l="1"/>
  <c r="O56" i="1" s="1"/>
  <c r="W17" i="1"/>
  <c r="O48" i="1" l="1"/>
  <c r="O51" i="1" s="1"/>
  <c r="P44" i="1"/>
  <c r="P56" i="1" s="1"/>
  <c r="W19" i="1"/>
  <c r="P48" i="1" l="1"/>
  <c r="P51" i="1" s="1"/>
  <c r="Q44" i="1" l="1"/>
  <c r="Q56" i="1" s="1"/>
  <c r="Q48" i="1" l="1"/>
  <c r="Q51" i="1" s="1"/>
  <c r="R44" i="1"/>
  <c r="R48" i="1" s="1"/>
  <c r="R51" i="1" s="1"/>
  <c r="G61" i="1"/>
  <c r="R56" i="1" l="1"/>
  <c r="S56" i="1" s="1"/>
  <c r="T56" i="1" s="1"/>
  <c r="U56" i="1" s="1"/>
  <c r="V56" i="1" s="1"/>
  <c r="W38" i="1"/>
  <c r="W39" i="1" l="1"/>
  <c r="G44" i="1"/>
  <c r="G48" i="1" s="1"/>
  <c r="W44" i="1" l="1"/>
  <c r="G51" i="1"/>
  <c r="W48" i="1" l="1"/>
  <c r="W5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Norman Reed</author>
  </authors>
  <commentList>
    <comment ref="W4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Norman Reed:</t>
        </r>
        <r>
          <rPr>
            <sz val="9"/>
            <color indexed="81"/>
            <rFont val="Tahoma"/>
            <family val="2"/>
          </rPr>
          <t xml:space="preserve">
plus land cost</t>
        </r>
      </text>
    </comment>
  </commentList>
</comments>
</file>

<file path=xl/sharedStrings.xml><?xml version="1.0" encoding="utf-8"?>
<sst xmlns="http://schemas.openxmlformats.org/spreadsheetml/2006/main" count="51" uniqueCount="45">
  <si>
    <t>Proforma and Financial Projections</t>
  </si>
  <si>
    <t>Check</t>
  </si>
  <si>
    <t>SALES &amp; REVENUE</t>
  </si>
  <si>
    <t>Total Sales</t>
  </si>
  <si>
    <t>Closing Costs</t>
  </si>
  <si>
    <t>Total Lots Sold</t>
  </si>
  <si>
    <t>Tax Base</t>
  </si>
  <si>
    <t>SALES &amp; REVENUE - CASH FLOW</t>
  </si>
  <si>
    <t>HARD, SOFT, &amp; LAND COSTS</t>
  </si>
  <si>
    <t>Hard Costs</t>
  </si>
  <si>
    <t>Total Development Hard Costs</t>
  </si>
  <si>
    <t>Soft Costs</t>
  </si>
  <si>
    <t>Loan Costs</t>
  </si>
  <si>
    <t>Ad Valorem Taxes</t>
  </si>
  <si>
    <t>Total Development Soft Costs</t>
  </si>
  <si>
    <t>Land Cost</t>
  </si>
  <si>
    <t>DEVELOPMENT &amp; LAND COST - CASH FLOW</t>
  </si>
  <si>
    <t>NET CASH FLOW BEFORE FINANCING ACTIVITIES</t>
  </si>
  <si>
    <t>&amp; CASH FLOW AVAILABLE FOR DIST.</t>
  </si>
  <si>
    <t>CASH FLOW FROM FINANCING ACTIVITIES:</t>
  </si>
  <si>
    <t>Partnership Equity</t>
  </si>
  <si>
    <t xml:space="preserve">Engineering </t>
  </si>
  <si>
    <t>Lots</t>
  </si>
  <si>
    <t xml:space="preserve">#Lots </t>
  </si>
  <si>
    <t>50 x 120</t>
  </si>
  <si>
    <t>Hardin Store Road 104.52 ac.</t>
  </si>
  <si>
    <t>Section 4</t>
  </si>
  <si>
    <t xml:space="preserve">Section 1 </t>
  </si>
  <si>
    <t xml:space="preserve">Section 2 </t>
  </si>
  <si>
    <t xml:space="preserve">Section 3 </t>
  </si>
  <si>
    <t>Hardwood Trails</t>
  </si>
  <si>
    <t>45 x 120</t>
  </si>
  <si>
    <t xml:space="preserve">Land sale to  improvement district  + cost </t>
  </si>
  <si>
    <t>Net sales</t>
  </si>
  <si>
    <t>Water and sewer</t>
  </si>
  <si>
    <t>Project Management</t>
  </si>
  <si>
    <t>Cash account Builder depositr</t>
  </si>
  <si>
    <t>Landscaping and recreation</t>
  </si>
  <si>
    <t>$/Lot  $1050 front '</t>
  </si>
  <si>
    <t>$/Lot $1050 front '</t>
  </si>
  <si>
    <t>Builder deposit</t>
  </si>
  <si>
    <t>Partner Return</t>
  </si>
  <si>
    <t>Capital Contribution</t>
  </si>
  <si>
    <t>Partner Distribution</t>
  </si>
  <si>
    <t>As of September 10,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</si>
</sst>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%"/>
  </numFmts>
  <fonts count="19" x14ac:knownFonts="1">
    <font>
      <sz val="10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i/>
      <sz val="10"/>
      <color indexed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16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3" fillId="0" borderId="0" xfId="0" applyFont="1" applyFill="1"/>
    <xf numFmtId="42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0" fontId="5" fillId="0" borderId="0" xfId="0" applyFont="1" applyFill="1"/>
    <xf numFmtId="0" fontId="0" fillId="0" borderId="0" xfId="0" applyFill="1" applyBorder="1"/>
    <xf numFmtId="42" fontId="0" fillId="0" borderId="0" xfId="0" applyNumberFormat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/>
    <xf numFmtId="0" fontId="0" fillId="0" borderId="4" xfId="0" applyBorder="1"/>
    <xf numFmtId="41" fontId="0" fillId="0" borderId="5" xfId="0" applyNumberFormat="1" applyFill="1" applyBorder="1" applyAlignment="1">
      <alignment horizontal="center"/>
    </xf>
    <xf numFmtId="41" fontId="0" fillId="0" borderId="0" xfId="0" applyNumberFormat="1" applyAlignment="1">
      <alignment horizontal="center"/>
    </xf>
    <xf numFmtId="0" fontId="5" fillId="2" borderId="6" xfId="0" applyFont="1" applyFill="1" applyBorder="1"/>
    <xf numFmtId="0" fontId="5" fillId="2" borderId="7" xfId="0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0" fontId="5" fillId="0" borderId="6" xfId="0" applyFont="1" applyFill="1" applyBorder="1"/>
    <xf numFmtId="0" fontId="6" fillId="0" borderId="0" xfId="0" applyFont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41" fontId="7" fillId="0" borderId="0" xfId="0" applyNumberFormat="1" applyFont="1" applyAlignment="1">
      <alignment horizontal="center"/>
    </xf>
    <xf numFmtId="41" fontId="8" fillId="0" borderId="0" xfId="0" applyNumberFormat="1" applyFont="1"/>
    <xf numFmtId="0" fontId="5" fillId="0" borderId="6" xfId="0" applyFont="1" applyBorder="1"/>
    <xf numFmtId="164" fontId="0" fillId="0" borderId="5" xfId="1" applyNumberFormat="1" applyFont="1" applyFill="1" applyBorder="1" applyAlignment="1">
      <alignment horizontal="center"/>
    </xf>
    <xf numFmtId="0" fontId="3" fillId="0" borderId="7" xfId="0" applyFont="1" applyBorder="1"/>
    <xf numFmtId="165" fontId="5" fillId="0" borderId="7" xfId="0" applyNumberFormat="1" applyFont="1" applyFill="1" applyBorder="1"/>
    <xf numFmtId="0" fontId="5" fillId="0" borderId="7" xfId="0" quotePrefix="1" applyFont="1" applyFill="1" applyBorder="1"/>
    <xf numFmtId="0" fontId="5" fillId="0" borderId="0" xfId="0" applyFont="1"/>
    <xf numFmtId="0" fontId="0" fillId="2" borderId="7" xfId="0" applyFill="1" applyBorder="1"/>
    <xf numFmtId="17" fontId="3" fillId="2" borderId="7" xfId="0" applyNumberFormat="1" applyFont="1" applyFill="1" applyBorder="1" applyProtection="1">
      <protection locked="0"/>
    </xf>
    <xf numFmtId="0" fontId="0" fillId="0" borderId="7" xfId="0" applyFill="1" applyBorder="1"/>
    <xf numFmtId="0" fontId="0" fillId="0" borderId="8" xfId="0" applyFill="1" applyBorder="1"/>
    <xf numFmtId="3" fontId="3" fillId="0" borderId="7" xfId="0" applyNumberFormat="1" applyFont="1" applyBorder="1"/>
    <xf numFmtId="0" fontId="10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41" fontId="11" fillId="0" borderId="5" xfId="0" applyNumberFormat="1" applyFont="1" applyFill="1" applyBorder="1" applyAlignment="1">
      <alignment horizontal="center"/>
    </xf>
    <xf numFmtId="0" fontId="11" fillId="0" borderId="0" xfId="0" applyFont="1"/>
    <xf numFmtId="42" fontId="3" fillId="0" borderId="5" xfId="0" applyNumberFormat="1" applyFont="1" applyBorder="1" applyAlignment="1">
      <alignment horizontal="center"/>
    </xf>
    <xf numFmtId="41" fontId="3" fillId="0" borderId="5" xfId="0" applyNumberFormat="1" applyFont="1" applyBorder="1" applyAlignment="1">
      <alignment horizontal="center"/>
    </xf>
    <xf numFmtId="0" fontId="11" fillId="0" borderId="5" xfId="0" applyFont="1" applyBorder="1"/>
    <xf numFmtId="42" fontId="11" fillId="0" borderId="7" xfId="0" applyNumberFormat="1" applyFont="1" applyBorder="1"/>
    <xf numFmtId="165" fontId="11" fillId="0" borderId="7" xfId="0" applyNumberFormat="1" applyFont="1" applyBorder="1"/>
    <xf numFmtId="0" fontId="11" fillId="0" borderId="7" xfId="0" quotePrefix="1" applyFont="1" applyBorder="1"/>
    <xf numFmtId="42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7" xfId="0" applyFont="1" applyFill="1" applyBorder="1" applyAlignment="1"/>
    <xf numFmtId="0" fontId="5" fillId="0" borderId="8" xfId="0" applyFont="1" applyBorder="1" applyAlignment="1"/>
    <xf numFmtId="41" fontId="5" fillId="0" borderId="5" xfId="0" applyNumberFormat="1" applyFont="1" applyFill="1" applyBorder="1" applyAlignment="1">
      <alignment horizontal="center"/>
    </xf>
    <xf numFmtId="0" fontId="5" fillId="0" borderId="9" xfId="0" applyFont="1" applyBorder="1" applyAlignment="1"/>
    <xf numFmtId="0" fontId="10" fillId="0" borderId="7" xfId="0" applyFont="1" applyFill="1" applyBorder="1"/>
    <xf numFmtId="0" fontId="10" fillId="0" borderId="8" xfId="0" applyFont="1" applyFill="1" applyBorder="1"/>
    <xf numFmtId="0" fontId="11" fillId="0" borderId="10" xfId="0" applyFont="1" applyBorder="1"/>
    <xf numFmtId="0" fontId="3" fillId="0" borderId="0" xfId="0" applyFont="1"/>
    <xf numFmtId="17" fontId="3" fillId="0" borderId="7" xfId="0" applyNumberFormat="1" applyFont="1" applyFill="1" applyBorder="1" applyProtection="1">
      <protection locked="0"/>
    </xf>
    <xf numFmtId="0" fontId="5" fillId="0" borderId="7" xfId="0" applyFont="1" applyBorder="1"/>
    <xf numFmtId="0" fontId="5" fillId="0" borderId="8" xfId="0" applyFont="1" applyBorder="1"/>
    <xf numFmtId="0" fontId="3" fillId="0" borderId="6" xfId="0" applyFont="1" applyBorder="1"/>
    <xf numFmtId="0" fontId="0" fillId="0" borderId="12" xfId="0" applyBorder="1"/>
    <xf numFmtId="0" fontId="0" fillId="0" borderId="13" xfId="0" applyBorder="1"/>
    <xf numFmtId="0" fontId="3" fillId="0" borderId="13" xfId="0" applyFont="1" applyBorder="1"/>
    <xf numFmtId="0" fontId="0" fillId="0" borderId="14" xfId="0" applyBorder="1"/>
    <xf numFmtId="0" fontId="0" fillId="0" borderId="11" xfId="0" applyBorder="1"/>
    <xf numFmtId="0" fontId="0" fillId="0" borderId="15" xfId="0" applyBorder="1"/>
    <xf numFmtId="42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/>
    <xf numFmtId="0" fontId="8" fillId="0" borderId="0" xfId="0" applyFont="1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1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7" fontId="5" fillId="0" borderId="16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9" fillId="0" borderId="0" xfId="0" applyFont="1" applyFill="1" applyAlignment="1" applyProtection="1">
      <alignment horizontal="center"/>
      <protection locked="0"/>
    </xf>
    <xf numFmtId="41" fontId="10" fillId="0" borderId="5" xfId="0" applyNumberFormat="1" applyFont="1" applyFill="1" applyBorder="1" applyAlignment="1">
      <alignment horizontal="center"/>
    </xf>
    <xf numFmtId="4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10" fillId="0" borderId="0" xfId="0" applyFont="1" applyFill="1"/>
    <xf numFmtId="0" fontId="11" fillId="0" borderId="9" xfId="0" applyFont="1" applyFill="1" applyBorder="1"/>
    <xf numFmtId="0" fontId="2" fillId="0" borderId="0" xfId="0" applyFont="1" applyFill="1" applyAlignment="1" applyProtection="1">
      <alignment horizontal="center"/>
      <protection locked="0"/>
    </xf>
    <xf numFmtId="0" fontId="3" fillId="0" borderId="7" xfId="0" applyFont="1" applyFill="1" applyBorder="1"/>
    <xf numFmtId="164" fontId="0" fillId="0" borderId="0" xfId="0" applyNumberFormat="1" applyFill="1" applyAlignment="1">
      <alignment horizontal="center"/>
    </xf>
    <xf numFmtId="0" fontId="0" fillId="0" borderId="6" xfId="0" applyFill="1" applyBorder="1"/>
    <xf numFmtId="0" fontId="0" fillId="0" borderId="7" xfId="0" quotePrefix="1" applyFill="1" applyBorder="1"/>
    <xf numFmtId="165" fontId="3" fillId="0" borderId="7" xfId="0" applyNumberFormat="1" applyFont="1" applyFill="1" applyBorder="1"/>
    <xf numFmtId="166" fontId="12" fillId="0" borderId="7" xfId="0" applyNumberFormat="1" applyFont="1" applyFill="1" applyBorder="1"/>
    <xf numFmtId="0" fontId="5" fillId="0" borderId="12" xfId="0" applyFont="1" applyFill="1" applyBorder="1"/>
    <xf numFmtId="0" fontId="0" fillId="0" borderId="13" xfId="0" applyFill="1" applyBorder="1"/>
    <xf numFmtId="0" fontId="3" fillId="0" borderId="13" xfId="0" applyFont="1" applyFill="1" applyBorder="1"/>
    <xf numFmtId="0" fontId="0" fillId="0" borderId="14" xfId="0" applyFill="1" applyBorder="1"/>
    <xf numFmtId="42" fontId="0" fillId="0" borderId="0" xfId="0" applyNumberFormat="1" applyFill="1" applyAlignment="1">
      <alignment horizontal="center"/>
    </xf>
    <xf numFmtId="166" fontId="1" fillId="0" borderId="0" xfId="1" applyNumberFormat="1" applyFont="1" applyBorder="1"/>
    <xf numFmtId="0" fontId="2" fillId="0" borderId="9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left"/>
    </xf>
    <xf numFmtId="41" fontId="9" fillId="0" borderId="0" xfId="0" applyNumberFormat="1" applyFont="1" applyFill="1" applyAlignment="1" applyProtection="1">
      <alignment horizontal="center"/>
      <protection locked="0"/>
    </xf>
    <xf numFmtId="41" fontId="10" fillId="0" borderId="6" xfId="0" applyNumberFormat="1" applyFont="1" applyFill="1" applyBorder="1"/>
    <xf numFmtId="49" fontId="11" fillId="0" borderId="7" xfId="0" applyNumberFormat="1" applyFont="1" applyFill="1" applyBorder="1"/>
    <xf numFmtId="0" fontId="11" fillId="0" borderId="7" xfId="0" applyFont="1" applyFill="1" applyBorder="1"/>
    <xf numFmtId="41" fontId="11" fillId="0" borderId="8" xfId="0" applyNumberFormat="1" applyFont="1" applyFill="1" applyBorder="1"/>
    <xf numFmtId="41" fontId="3" fillId="0" borderId="5" xfId="0" applyNumberFormat="1" applyFont="1" applyFill="1" applyBorder="1" applyAlignment="1">
      <alignment horizontal="center"/>
    </xf>
    <xf numFmtId="41" fontId="11" fillId="0" borderId="0" xfId="0" applyNumberFormat="1" applyFont="1" applyFill="1"/>
    <xf numFmtId="0" fontId="10" fillId="0" borderId="6" xfId="0" applyFont="1" applyFill="1" applyBorder="1"/>
    <xf numFmtId="0" fontId="11" fillId="0" borderId="8" xfId="0" applyFont="1" applyFill="1" applyBorder="1"/>
    <xf numFmtId="0" fontId="11" fillId="0" borderId="5" xfId="0" applyFont="1" applyFill="1" applyBorder="1"/>
    <xf numFmtId="0" fontId="11" fillId="0" borderId="0" xfId="0" applyFont="1" applyFill="1"/>
    <xf numFmtId="0" fontId="11" fillId="0" borderId="17" xfId="0" applyFont="1" applyFill="1" applyBorder="1"/>
    <xf numFmtId="0" fontId="5" fillId="0" borderId="0" xfId="0" applyFont="1" applyBorder="1"/>
    <xf numFmtId="41" fontId="11" fillId="0" borderId="7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164" fontId="15" fillId="3" borderId="5" xfId="1" applyNumberFormat="1" applyFont="1" applyFill="1" applyBorder="1" applyAlignment="1">
      <alignment horizontal="center"/>
    </xf>
    <xf numFmtId="41" fontId="3" fillId="3" borderId="5" xfId="0" applyNumberFormat="1" applyFont="1" applyFill="1" applyBorder="1" applyAlignment="1">
      <alignment horizontal="center"/>
    </xf>
    <xf numFmtId="42" fontId="5" fillId="0" borderId="6" xfId="0" applyNumberFormat="1" applyFont="1" applyFill="1" applyBorder="1" applyAlignment="1">
      <alignment horizontal="center"/>
    </xf>
    <xf numFmtId="42" fontId="5" fillId="0" borderId="5" xfId="0" applyNumberFormat="1" applyFont="1" applyFill="1" applyBorder="1" applyAlignment="1">
      <alignment horizontal="center"/>
    </xf>
    <xf numFmtId="42" fontId="0" fillId="0" borderId="2" xfId="0" applyNumberFormat="1" applyBorder="1" applyAlignment="1">
      <alignment horizontal="center"/>
    </xf>
    <xf numFmtId="42" fontId="0" fillId="0" borderId="6" xfId="0" applyNumberFormat="1" applyFill="1" applyBorder="1" applyAlignment="1">
      <alignment horizontal="center"/>
    </xf>
    <xf numFmtId="42" fontId="0" fillId="0" borderId="6" xfId="0" applyNumberFormat="1" applyBorder="1" applyAlignment="1">
      <alignment horizontal="center"/>
    </xf>
    <xf numFmtId="164" fontId="15" fillId="0" borderId="6" xfId="1" applyNumberFormat="1" applyFont="1" applyFill="1" applyBorder="1" applyAlignment="1">
      <alignment horizontal="center"/>
    </xf>
    <xf numFmtId="164" fontId="0" fillId="0" borderId="6" xfId="1" applyNumberFormat="1" applyFont="1" applyFill="1" applyBorder="1" applyAlignment="1">
      <alignment horizontal="center"/>
    </xf>
    <xf numFmtId="37" fontId="0" fillId="0" borderId="6" xfId="0" applyNumberFormat="1" applyFill="1" applyBorder="1" applyAlignment="1">
      <alignment horizontal="right"/>
    </xf>
    <xf numFmtId="42" fontId="11" fillId="0" borderId="6" xfId="0" applyNumberFormat="1" applyFont="1" applyBorder="1" applyAlignment="1">
      <alignment horizontal="center"/>
    </xf>
    <xf numFmtId="42" fontId="5" fillId="0" borderId="6" xfId="0" applyNumberFormat="1" applyFont="1" applyBorder="1" applyAlignment="1">
      <alignment horizontal="center"/>
    </xf>
    <xf numFmtId="42" fontId="5" fillId="0" borderId="12" xfId="0" applyNumberFormat="1" applyFont="1" applyFill="1" applyBorder="1" applyAlignment="1">
      <alignment horizontal="center"/>
    </xf>
    <xf numFmtId="164" fontId="5" fillId="0" borderId="6" xfId="1" applyNumberFormat="1" applyFont="1" applyFill="1" applyBorder="1" applyAlignment="1">
      <alignment horizontal="center"/>
    </xf>
    <xf numFmtId="0" fontId="0" fillId="0" borderId="0" xfId="0" applyBorder="1"/>
    <xf numFmtId="41" fontId="3" fillId="5" borderId="5" xfId="0" applyNumberFormat="1" applyFont="1" applyFill="1" applyBorder="1" applyAlignment="1">
      <alignment horizontal="center"/>
    </xf>
    <xf numFmtId="164" fontId="3" fillId="0" borderId="6" xfId="1" applyNumberFormat="1" applyFont="1" applyFill="1" applyBorder="1" applyAlignment="1">
      <alignment horizontal="center"/>
    </xf>
    <xf numFmtId="41" fontId="3" fillId="0" borderId="23" xfId="0" applyNumberFormat="1" applyFont="1" applyFill="1" applyBorder="1" applyAlignment="1">
      <alignment horizontal="center"/>
    </xf>
    <xf numFmtId="0" fontId="11" fillId="0" borderId="23" xfId="0" applyFont="1" applyFill="1" applyBorder="1"/>
    <xf numFmtId="41" fontId="3" fillId="4" borderId="23" xfId="0" applyNumberFormat="1" applyFont="1" applyFill="1" applyBorder="1" applyAlignment="1">
      <alignment horizontal="center"/>
    </xf>
    <xf numFmtId="41" fontId="3" fillId="6" borderId="16" xfId="0" applyNumberFormat="1" applyFont="1" applyFill="1" applyBorder="1" applyAlignment="1">
      <alignment horizontal="center"/>
    </xf>
    <xf numFmtId="0" fontId="11" fillId="0" borderId="24" xfId="0" applyFont="1" applyFill="1" applyBorder="1"/>
    <xf numFmtId="41" fontId="7" fillId="0" borderId="0" xfId="0" applyNumberFormat="1" applyFont="1" applyAlignment="1">
      <alignment horizontal="center" vertical="center"/>
    </xf>
    <xf numFmtId="0" fontId="1" fillId="0" borderId="0" xfId="0" applyFont="1" applyFill="1"/>
    <xf numFmtId="41" fontId="18" fillId="7" borderId="5" xfId="2" applyNumberFormat="1" applyBorder="1" applyAlignment="1">
      <alignment horizontal="center"/>
    </xf>
    <xf numFmtId="0" fontId="1" fillId="0" borderId="7" xfId="0" applyFont="1" applyBorder="1"/>
    <xf numFmtId="0" fontId="1" fillId="0" borderId="7" xfId="0" applyFont="1" applyFill="1" applyBorder="1"/>
    <xf numFmtId="42" fontId="5" fillId="0" borderId="25" xfId="0" applyNumberFormat="1" applyFont="1" applyBorder="1" applyAlignment="1">
      <alignment horizontal="center" vertical="center"/>
    </xf>
    <xf numFmtId="42" fontId="0" fillId="0" borderId="0" xfId="0" applyNumberFormat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42" fontId="11" fillId="0" borderId="0" xfId="0" applyNumberFormat="1" applyFont="1" applyBorder="1" applyAlignment="1">
      <alignment horizontal="center"/>
    </xf>
    <xf numFmtId="42" fontId="5" fillId="0" borderId="0" xfId="0" applyNumberFormat="1" applyFont="1" applyBorder="1" applyAlignment="1">
      <alignment horizontal="center"/>
    </xf>
    <xf numFmtId="4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2" fontId="5" fillId="0" borderId="21" xfId="0" applyNumberFormat="1" applyFont="1" applyBorder="1" applyAlignment="1">
      <alignment horizontal="center" vertical="center"/>
    </xf>
    <xf numFmtId="42" fontId="5" fillId="0" borderId="22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</cellXfs>
  <cellStyles count="3">
    <cellStyle name="Bad" xfId="2" builtinId="27"/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B848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80"/>
  <sheetViews>
    <sheetView tabSelected="1" zoomScaleNormal="10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C9" sqref="C9"/>
    </sheetView>
  </sheetViews>
  <sheetFormatPr defaultRowHeight="13.2" x14ac:dyDescent="0.25"/>
  <cols>
    <col min="1" max="1" width="6.109375" style="89" customWidth="1"/>
    <col min="2" max="2" width="2.5546875" customWidth="1"/>
    <col min="3" max="3" width="28.109375" customWidth="1"/>
    <col min="4" max="4" width="8.6640625" style="60" customWidth="1"/>
    <col min="5" max="5" width="4.44140625" customWidth="1"/>
    <col min="6" max="6" width="2.6640625" customWidth="1"/>
    <col min="7" max="7" width="15.5546875" style="71" customWidth="1"/>
    <col min="8" max="8" width="11.33203125" style="71" bestFit="1" customWidth="1"/>
    <col min="9" max="16" width="12.33203125" style="5" bestFit="1" customWidth="1"/>
    <col min="17" max="17" width="13" style="5" bestFit="1" customWidth="1"/>
    <col min="18" max="20" width="12.33203125" style="5" bestFit="1" customWidth="1"/>
    <col min="21" max="21" width="13" style="5" bestFit="1" customWidth="1"/>
    <col min="22" max="24" width="12.33203125" style="5" bestFit="1" customWidth="1"/>
    <col min="25" max="25" width="13" style="5" bestFit="1" customWidth="1"/>
    <col min="26" max="27" width="12.33203125" style="5" bestFit="1" customWidth="1"/>
    <col min="28" max="28" width="13.44140625" style="5" customWidth="1"/>
    <col min="29" max="29" width="12.33203125" style="5" customWidth="1"/>
    <col min="30" max="43" width="12.33203125" style="5" bestFit="1" customWidth="1"/>
    <col min="44" max="55" width="11.6640625" style="5" customWidth="1"/>
    <col min="57" max="57" width="17.44140625" customWidth="1"/>
    <col min="58" max="58" width="18.109375" style="7" customWidth="1"/>
  </cols>
  <sheetData>
    <row r="1" spans="1:58" ht="15" customHeight="1" x14ac:dyDescent="0.25">
      <c r="B1" s="1"/>
      <c r="C1" s="8" t="s">
        <v>25</v>
      </c>
      <c r="D1" s="3"/>
      <c r="F1" s="2"/>
      <c r="G1" s="4"/>
      <c r="H1" s="4"/>
      <c r="L1" s="6"/>
      <c r="M1" s="6"/>
    </row>
    <row r="2" spans="1:58" ht="16.2" thickBot="1" x14ac:dyDescent="0.35">
      <c r="B2" s="107"/>
      <c r="C2" s="8" t="s">
        <v>30</v>
      </c>
      <c r="D2" s="3"/>
      <c r="E2" s="9"/>
      <c r="F2" s="2"/>
      <c r="G2" s="10"/>
      <c r="H2" s="10"/>
      <c r="I2" s="78"/>
      <c r="J2" s="78"/>
      <c r="K2" s="78"/>
      <c r="L2" s="79"/>
      <c r="M2" s="79"/>
    </row>
    <row r="3" spans="1:58" ht="13.8" thickBot="1" x14ac:dyDescent="0.3">
      <c r="B3" s="8"/>
      <c r="C3" s="8" t="s">
        <v>0</v>
      </c>
      <c r="D3" s="3"/>
      <c r="E3" s="2"/>
      <c r="G3" s="157"/>
      <c r="H3" s="150"/>
      <c r="I3" s="159"/>
      <c r="J3" s="160"/>
      <c r="K3" s="161"/>
      <c r="L3" s="159"/>
      <c r="M3" s="160"/>
      <c r="N3" s="160"/>
      <c r="O3" s="161"/>
      <c r="P3" s="159"/>
      <c r="Q3" s="160"/>
      <c r="R3" s="160"/>
      <c r="S3" s="161"/>
      <c r="T3" s="159"/>
      <c r="U3" s="160"/>
      <c r="V3" s="160"/>
      <c r="W3" s="161"/>
      <c r="X3" s="81"/>
      <c r="Y3" s="81"/>
      <c r="Z3" s="81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7" t="s">
        <v>1</v>
      </c>
      <c r="BB3"/>
      <c r="BC3"/>
      <c r="BF3"/>
    </row>
    <row r="4" spans="1:58" ht="13.8" thickBot="1" x14ac:dyDescent="0.3">
      <c r="B4" s="2"/>
      <c r="C4" s="146" t="s">
        <v>44</v>
      </c>
      <c r="D4" s="3"/>
      <c r="E4" s="2"/>
      <c r="G4" s="158"/>
      <c r="H4" s="80">
        <v>43711</v>
      </c>
      <c r="I4" s="80">
        <v>43833</v>
      </c>
      <c r="J4" s="80">
        <f t="shared" ref="J4:V4" si="0">I4+93</f>
        <v>43926</v>
      </c>
      <c r="K4" s="80">
        <f t="shared" si="0"/>
        <v>44019</v>
      </c>
      <c r="L4" s="80">
        <f t="shared" si="0"/>
        <v>44112</v>
      </c>
      <c r="M4" s="80">
        <f t="shared" si="0"/>
        <v>44205</v>
      </c>
      <c r="N4" s="80">
        <f t="shared" si="0"/>
        <v>44298</v>
      </c>
      <c r="O4" s="80">
        <f t="shared" si="0"/>
        <v>44391</v>
      </c>
      <c r="P4" s="80">
        <f t="shared" si="0"/>
        <v>44484</v>
      </c>
      <c r="Q4" s="80">
        <f t="shared" si="0"/>
        <v>44577</v>
      </c>
      <c r="R4" s="80">
        <f t="shared" si="0"/>
        <v>44670</v>
      </c>
      <c r="S4" s="80">
        <f t="shared" si="0"/>
        <v>44763</v>
      </c>
      <c r="T4" s="80">
        <f t="shared" si="0"/>
        <v>44856</v>
      </c>
      <c r="U4" s="80">
        <f t="shared" si="0"/>
        <v>44949</v>
      </c>
      <c r="V4" s="80">
        <f t="shared" si="0"/>
        <v>45042</v>
      </c>
      <c r="X4" s="86"/>
      <c r="Y4" s="2"/>
      <c r="Z4" s="2"/>
      <c r="AA4" s="2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F4"/>
    </row>
    <row r="5" spans="1:58" x14ac:dyDescent="0.25">
      <c r="B5" s="11"/>
      <c r="C5" s="12"/>
      <c r="D5" s="13"/>
      <c r="E5" s="12"/>
      <c r="F5" s="14"/>
      <c r="G5" s="127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6"/>
      <c r="X5" s="86"/>
      <c r="Y5" s="2"/>
      <c r="Z5" s="2"/>
      <c r="AA5" s="2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F5"/>
    </row>
    <row r="6" spans="1:58" x14ac:dyDescent="0.25">
      <c r="B6" s="17" t="s">
        <v>2</v>
      </c>
      <c r="C6" s="18"/>
      <c r="D6" s="18"/>
      <c r="E6" s="19"/>
      <c r="F6" s="20"/>
      <c r="G6" s="128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X6" s="86"/>
      <c r="Y6" s="2"/>
      <c r="Z6" s="2"/>
      <c r="AA6" s="2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F6"/>
    </row>
    <row r="7" spans="1:58" x14ac:dyDescent="0.25">
      <c r="B7" s="21"/>
      <c r="C7" s="19"/>
      <c r="D7" s="19"/>
      <c r="E7" s="19"/>
      <c r="F7" s="20"/>
      <c r="G7" s="129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22"/>
      <c r="X7" s="86"/>
      <c r="Y7" s="2"/>
      <c r="Z7" s="2"/>
      <c r="AA7" s="2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F7"/>
    </row>
    <row r="8" spans="1:58" x14ac:dyDescent="0.25">
      <c r="B8" s="28"/>
      <c r="C8" s="148" t="s">
        <v>38</v>
      </c>
      <c r="D8" s="30" t="s">
        <v>31</v>
      </c>
      <c r="E8" s="24"/>
      <c r="F8" s="25"/>
      <c r="G8" s="128">
        <v>47250</v>
      </c>
      <c r="H8" s="15"/>
      <c r="I8" s="15"/>
      <c r="J8" s="15"/>
      <c r="K8" s="15"/>
      <c r="L8" s="15"/>
      <c r="M8" s="15">
        <v>47250</v>
      </c>
      <c r="N8" s="15">
        <f>M8+0.06*M8/4</f>
        <v>47958.75</v>
      </c>
      <c r="O8" s="15">
        <f t="shared" ref="O8:S8" si="1">N8+0.06*N8/4</f>
        <v>48678.131249999999</v>
      </c>
      <c r="P8" s="15">
        <f t="shared" si="1"/>
        <v>49408.303218749999</v>
      </c>
      <c r="Q8" s="15">
        <f t="shared" si="1"/>
        <v>50149.427767031251</v>
      </c>
      <c r="R8" s="15">
        <f t="shared" si="1"/>
        <v>50901.669183536716</v>
      </c>
      <c r="S8" s="15">
        <f t="shared" si="1"/>
        <v>51665.19422128977</v>
      </c>
      <c r="T8" s="15">
        <f t="shared" ref="T8:T9" si="2">O8+0.06*O8/4</f>
        <v>49408.303218749999</v>
      </c>
      <c r="U8" s="15">
        <f t="shared" ref="U8:U9" si="3">T8+0.06*T8/4</f>
        <v>50149.427767031251</v>
      </c>
      <c r="V8" s="15">
        <f t="shared" ref="V8:V9" si="4">U8+0.06*U8/4</f>
        <v>50901.669183536716</v>
      </c>
      <c r="X8" s="86"/>
      <c r="Y8" s="2"/>
      <c r="Z8" s="2"/>
      <c r="AA8" s="2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F8"/>
    </row>
    <row r="9" spans="1:58" x14ac:dyDescent="0.25">
      <c r="B9" s="28"/>
      <c r="C9" s="148" t="s">
        <v>39</v>
      </c>
      <c r="D9" s="148" t="s">
        <v>24</v>
      </c>
      <c r="E9" s="24"/>
      <c r="F9" s="25"/>
      <c r="G9" s="128">
        <v>52500</v>
      </c>
      <c r="H9" s="15"/>
      <c r="I9" s="15"/>
      <c r="J9" s="15"/>
      <c r="K9" s="15"/>
      <c r="L9" s="15"/>
      <c r="M9" s="15">
        <v>52500</v>
      </c>
      <c r="N9" s="15">
        <f>M9+0.06*M9/4</f>
        <v>53287.5</v>
      </c>
      <c r="O9" s="15">
        <f t="shared" ref="O9:S9" si="5">N9+0.06*N9/4</f>
        <v>54086.8125</v>
      </c>
      <c r="P9" s="15">
        <f t="shared" si="5"/>
        <v>54898.114687499998</v>
      </c>
      <c r="Q9" s="15">
        <f t="shared" si="5"/>
        <v>55721.586407812494</v>
      </c>
      <c r="R9" s="15">
        <f t="shared" si="5"/>
        <v>56557.410203929685</v>
      </c>
      <c r="S9" s="15">
        <f t="shared" si="5"/>
        <v>57405.771356988633</v>
      </c>
      <c r="T9" s="15">
        <f t="shared" si="2"/>
        <v>54898.114687499998</v>
      </c>
      <c r="U9" s="15">
        <f t="shared" si="3"/>
        <v>55721.586407812494</v>
      </c>
      <c r="V9" s="15">
        <f t="shared" si="4"/>
        <v>56557.410203929685</v>
      </c>
      <c r="W9" s="16"/>
      <c r="X9" s="86"/>
      <c r="Y9" s="2"/>
      <c r="Z9" s="2"/>
      <c r="AA9" s="2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F9"/>
    </row>
    <row r="10" spans="1:58" s="2" customFormat="1" x14ac:dyDescent="0.25">
      <c r="A10" s="89"/>
      <c r="B10" s="21"/>
      <c r="C10" s="90" t="s">
        <v>23</v>
      </c>
      <c r="D10" s="30" t="s">
        <v>24</v>
      </c>
      <c r="E10" s="36"/>
      <c r="F10" s="37"/>
      <c r="G10" s="139">
        <v>204</v>
      </c>
      <c r="H10" s="29"/>
      <c r="I10" s="29"/>
      <c r="J10" s="29"/>
      <c r="K10" s="29"/>
      <c r="L10" s="29"/>
      <c r="M10" s="123">
        <v>54</v>
      </c>
      <c r="N10" s="123"/>
      <c r="O10" s="123"/>
      <c r="P10" s="123">
        <v>89</v>
      </c>
      <c r="Q10" s="123"/>
      <c r="R10" s="123"/>
      <c r="S10" s="123">
        <v>43</v>
      </c>
      <c r="T10" s="123"/>
      <c r="U10" s="123"/>
      <c r="V10" s="123">
        <v>18</v>
      </c>
      <c r="W10" s="91">
        <f t="shared" ref="W10:W11" si="6">SUM(H10:V10)</f>
        <v>204</v>
      </c>
      <c r="X10" s="86"/>
    </row>
    <row r="11" spans="1:58" s="2" customFormat="1" x14ac:dyDescent="0.25">
      <c r="A11" s="89"/>
      <c r="B11" s="21"/>
      <c r="C11" s="90" t="s">
        <v>23</v>
      </c>
      <c r="D11" s="148" t="s">
        <v>31</v>
      </c>
      <c r="E11" s="36"/>
      <c r="F11" s="37"/>
      <c r="G11" s="139">
        <v>142</v>
      </c>
      <c r="H11" s="29"/>
      <c r="I11" s="29"/>
      <c r="J11" s="29"/>
      <c r="K11" s="29"/>
      <c r="L11" s="29"/>
      <c r="M11" s="123">
        <v>22</v>
      </c>
      <c r="N11" s="123"/>
      <c r="O11" s="123"/>
      <c r="P11" s="123">
        <v>39</v>
      </c>
      <c r="Q11" s="123"/>
      <c r="R11" s="123"/>
      <c r="S11" s="123">
        <v>19</v>
      </c>
      <c r="T11" s="123"/>
      <c r="U11" s="123"/>
      <c r="V11" s="123">
        <v>62</v>
      </c>
      <c r="W11" s="91">
        <f t="shared" si="6"/>
        <v>142</v>
      </c>
      <c r="X11" s="86"/>
    </row>
    <row r="12" spans="1:58" x14ac:dyDescent="0.25">
      <c r="B12" s="28"/>
      <c r="C12" s="24" t="s">
        <v>3</v>
      </c>
      <c r="D12" s="30"/>
      <c r="E12" s="24"/>
      <c r="F12" s="25"/>
      <c r="G12" s="131">
        <f>SUM(H12:V12)</f>
        <v>18311379.764323778</v>
      </c>
      <c r="H12" s="15"/>
      <c r="I12" s="15"/>
      <c r="J12" s="15"/>
      <c r="K12" s="15"/>
      <c r="L12" s="15">
        <f>L9*L10</f>
        <v>0</v>
      </c>
      <c r="M12" s="15">
        <f>SUM(M8*M11)+(M9*M10)</f>
        <v>3874500</v>
      </c>
      <c r="N12" s="15">
        <f>SUM(N8*N11)+(N9*N10)</f>
        <v>0</v>
      </c>
      <c r="O12" s="15">
        <f t="shared" ref="O12:R12" si="7">SUM(O8*O11)+(O9*O10)</f>
        <v>0</v>
      </c>
      <c r="P12" s="15">
        <f t="shared" si="7"/>
        <v>6812856.0327187497</v>
      </c>
      <c r="Q12" s="15">
        <f t="shared" si="7"/>
        <v>0</v>
      </c>
      <c r="R12" s="15">
        <f t="shared" si="7"/>
        <v>0</v>
      </c>
      <c r="S12" s="15">
        <f>SUM(S8*S11)+(S9*S10)</f>
        <v>3450086.858555017</v>
      </c>
      <c r="T12" s="15">
        <f>SUM(T8*T11)+(T9*T10)</f>
        <v>0</v>
      </c>
      <c r="U12" s="15">
        <f>SUM(U8*U11)+(U9*U10)</f>
        <v>0</v>
      </c>
      <c r="V12" s="15">
        <f>SUM(V8*V11)+(V9*V10)</f>
        <v>4173936.8730500108</v>
      </c>
      <c r="W12" s="91">
        <f>SUM(H12:V12)</f>
        <v>18311379.764323778</v>
      </c>
      <c r="X12" s="86"/>
      <c r="Y12" s="2"/>
      <c r="Z12" s="2"/>
      <c r="AA12" s="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F12"/>
    </row>
    <row r="13" spans="1:58" x14ac:dyDescent="0.25">
      <c r="B13" s="28"/>
      <c r="C13" s="24" t="s">
        <v>4</v>
      </c>
      <c r="D13" s="30"/>
      <c r="E13" s="24"/>
      <c r="F13" s="25"/>
      <c r="G13" s="131">
        <f>SUM(H13:V13)</f>
        <v>-868197.59528647549</v>
      </c>
      <c r="H13" s="15"/>
      <c r="I13" s="15"/>
      <c r="J13" s="15"/>
      <c r="K13" s="15"/>
      <c r="L13" s="15"/>
      <c r="M13" s="15">
        <f>-M12*0.02-500-1445*(M10+M11)</f>
        <v>-187810</v>
      </c>
      <c r="N13" s="15"/>
      <c r="O13" s="15"/>
      <c r="P13" s="15">
        <f t="shared" ref="P13:V13" si="8">-P12*0.02-500-1445*(P10+P11)</f>
        <v>-321717.120654375</v>
      </c>
      <c r="Q13" s="15"/>
      <c r="R13" s="15"/>
      <c r="S13" s="15">
        <f t="shared" si="8"/>
        <v>-159091.73717110034</v>
      </c>
      <c r="T13" s="15"/>
      <c r="U13" s="15"/>
      <c r="V13" s="15">
        <f t="shared" si="8"/>
        <v>-199578.73746100022</v>
      </c>
      <c r="W13" s="91">
        <f>SUM(H13:V13)</f>
        <v>-868197.59528647549</v>
      </c>
      <c r="X13" s="86"/>
      <c r="Y13" s="2"/>
      <c r="Z13" s="2"/>
      <c r="AA13" s="2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F13"/>
    </row>
    <row r="14" spans="1:58" x14ac:dyDescent="0.25">
      <c r="B14" s="28"/>
      <c r="C14" s="24" t="s">
        <v>33</v>
      </c>
      <c r="D14" s="30"/>
      <c r="E14" s="24"/>
      <c r="F14" s="25"/>
      <c r="G14" s="131">
        <f>SUM(H14:V14)</f>
        <v>17443182.169037301</v>
      </c>
      <c r="H14" s="15"/>
      <c r="I14" s="15"/>
      <c r="J14" s="15"/>
      <c r="K14" s="15"/>
      <c r="L14" s="15"/>
      <c r="M14" s="15">
        <f>M12+M13</f>
        <v>3686690</v>
      </c>
      <c r="N14" s="15">
        <f t="shared" ref="N14:V14" si="9">N12+N13</f>
        <v>0</v>
      </c>
      <c r="O14" s="15">
        <f t="shared" si="9"/>
        <v>0</v>
      </c>
      <c r="P14" s="15">
        <f t="shared" si="9"/>
        <v>6491138.9120643744</v>
      </c>
      <c r="Q14" s="15">
        <f t="shared" si="9"/>
        <v>0</v>
      </c>
      <c r="R14" s="15">
        <f t="shared" si="9"/>
        <v>0</v>
      </c>
      <c r="S14" s="15">
        <f t="shared" si="9"/>
        <v>3290995.1213839166</v>
      </c>
      <c r="T14" s="15">
        <f t="shared" si="9"/>
        <v>0</v>
      </c>
      <c r="U14" s="15">
        <f t="shared" si="9"/>
        <v>0</v>
      </c>
      <c r="V14" s="15">
        <f t="shared" si="9"/>
        <v>3974358.1355890105</v>
      </c>
      <c r="W14" s="91">
        <f>SUM(H14:V14)</f>
        <v>17443182.169037301</v>
      </c>
      <c r="X14" s="86"/>
      <c r="Y14" s="2"/>
      <c r="Z14" s="2"/>
      <c r="AA14" s="2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F14"/>
    </row>
    <row r="15" spans="1:58" x14ac:dyDescent="0.25">
      <c r="B15" s="28"/>
      <c r="C15" s="24" t="s">
        <v>5</v>
      </c>
      <c r="D15" s="30"/>
      <c r="E15" s="24"/>
      <c r="F15" s="25"/>
      <c r="G15" s="132">
        <f>SUM(G10+G11)</f>
        <v>346</v>
      </c>
      <c r="H15" s="15"/>
      <c r="I15" s="15"/>
      <c r="J15" s="15"/>
      <c r="K15" s="15"/>
      <c r="L15" s="15">
        <f>L10</f>
        <v>0</v>
      </c>
      <c r="M15" s="15">
        <f>M10+M11+L15</f>
        <v>76</v>
      </c>
      <c r="N15" s="15">
        <f t="shared" ref="N15:R15" si="10">N10+N11+M15</f>
        <v>76</v>
      </c>
      <c r="O15" s="15">
        <f t="shared" si="10"/>
        <v>76</v>
      </c>
      <c r="P15" s="15">
        <f t="shared" si="10"/>
        <v>204</v>
      </c>
      <c r="Q15" s="15">
        <f t="shared" si="10"/>
        <v>204</v>
      </c>
      <c r="R15" s="15">
        <f t="shared" si="10"/>
        <v>204</v>
      </c>
      <c r="S15" s="15">
        <f>S10+S11+R15</f>
        <v>266</v>
      </c>
      <c r="T15" s="15">
        <f>T10+T11+S15</f>
        <v>266</v>
      </c>
      <c r="U15" s="15">
        <f>U10+U11+T15</f>
        <v>266</v>
      </c>
      <c r="V15" s="15">
        <f>V10+V11+U15</f>
        <v>346</v>
      </c>
      <c r="W15" s="91"/>
      <c r="X15" s="86"/>
      <c r="Y15" s="2"/>
      <c r="Z15" s="2"/>
      <c r="AA15" s="2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F15"/>
    </row>
    <row r="16" spans="1:58" x14ac:dyDescent="0.25">
      <c r="B16" s="28"/>
      <c r="C16" s="24" t="s">
        <v>34</v>
      </c>
      <c r="D16" s="30"/>
      <c r="E16" s="24"/>
      <c r="F16" s="25"/>
      <c r="G16" s="131">
        <f>SUM(H16:V16)</f>
        <v>2366000</v>
      </c>
      <c r="H16" s="15"/>
      <c r="I16" s="15"/>
      <c r="J16" s="15"/>
      <c r="K16" s="15">
        <f t="shared" ref="K16" si="11">1340000+3800*F25</f>
        <v>1340000</v>
      </c>
      <c r="L16" s="15"/>
      <c r="M16" s="15"/>
      <c r="N16" s="15">
        <f>3800*E26</f>
        <v>486400</v>
      </c>
      <c r="O16" s="15"/>
      <c r="P16" s="15">
        <f>3800*E27</f>
        <v>235600</v>
      </c>
      <c r="Q16" s="15"/>
      <c r="R16" s="15"/>
      <c r="S16" s="15"/>
      <c r="T16" s="15">
        <f>3800*E28</f>
        <v>304000</v>
      </c>
      <c r="U16" s="15"/>
      <c r="V16" s="15"/>
      <c r="W16" s="91">
        <f>SUM(H16:V16)</f>
        <v>2366000</v>
      </c>
      <c r="X16" s="86"/>
      <c r="Y16" s="2"/>
      <c r="Z16" s="2"/>
      <c r="AA16" s="2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F16"/>
    </row>
    <row r="17" spans="1:58" s="2" customFormat="1" ht="14.4" x14ac:dyDescent="0.3">
      <c r="A17" s="89"/>
      <c r="B17" s="92"/>
      <c r="C17" s="149" t="s">
        <v>32</v>
      </c>
      <c r="D17" s="90"/>
      <c r="E17" s="93"/>
      <c r="F17" s="37"/>
      <c r="G17" s="131">
        <f>SUM(H17:V17)</f>
        <v>10515000</v>
      </c>
      <c r="H17" s="15"/>
      <c r="I17" s="15"/>
      <c r="J17" s="147"/>
      <c r="K17" s="147">
        <f>2500*E25*11</f>
        <v>2090000</v>
      </c>
      <c r="L17" s="15"/>
      <c r="M17" s="15"/>
      <c r="N17" s="15">
        <f>2500*E26*11</f>
        <v>3520000</v>
      </c>
      <c r="O17" s="15"/>
      <c r="P17" s="15">
        <f>2500*E27*11</f>
        <v>1705000</v>
      </c>
      <c r="Q17" s="15"/>
      <c r="R17" s="15"/>
      <c r="S17" s="15"/>
      <c r="T17" s="15">
        <f>2500*E28*11</f>
        <v>2200000</v>
      </c>
      <c r="U17" s="15"/>
      <c r="V17" s="15">
        <v>1000000</v>
      </c>
      <c r="W17" s="91">
        <f>SUM(H17:V17)</f>
        <v>10515000</v>
      </c>
      <c r="X17" s="86"/>
    </row>
    <row r="18" spans="1:58" x14ac:dyDescent="0.25">
      <c r="B18" s="23"/>
      <c r="C18" s="24" t="s">
        <v>6</v>
      </c>
      <c r="D18" s="30"/>
      <c r="E18" s="24"/>
      <c r="F18" s="25"/>
      <c r="G18" s="129"/>
      <c r="H18" s="15"/>
      <c r="I18" s="15"/>
      <c r="J18" s="15"/>
      <c r="K18" s="15"/>
      <c r="L18" s="15"/>
      <c r="M18" s="15">
        <v>8000000</v>
      </c>
      <c r="N18" s="15">
        <f t="shared" ref="N18:V18" si="12">SUM(N15*300000)</f>
        <v>22800000</v>
      </c>
      <c r="O18" s="15">
        <f t="shared" si="12"/>
        <v>22800000</v>
      </c>
      <c r="P18" s="15">
        <f t="shared" si="12"/>
        <v>61200000</v>
      </c>
      <c r="Q18" s="15">
        <f t="shared" si="12"/>
        <v>61200000</v>
      </c>
      <c r="R18" s="15">
        <f t="shared" si="12"/>
        <v>61200000</v>
      </c>
      <c r="S18" s="15">
        <f t="shared" si="12"/>
        <v>79800000</v>
      </c>
      <c r="T18" s="15">
        <f t="shared" si="12"/>
        <v>79800000</v>
      </c>
      <c r="U18" s="15">
        <f t="shared" si="12"/>
        <v>79800000</v>
      </c>
      <c r="V18" s="15">
        <f t="shared" si="12"/>
        <v>103800000</v>
      </c>
      <c r="W18" s="91"/>
      <c r="X18" s="86"/>
      <c r="Y18" s="2"/>
      <c r="Z18" s="2"/>
      <c r="AA18" s="2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F18"/>
    </row>
    <row r="19" spans="1:58" s="33" customFormat="1" x14ac:dyDescent="0.25">
      <c r="A19" s="89"/>
      <c r="B19" s="21" t="s">
        <v>7</v>
      </c>
      <c r="C19" s="19"/>
      <c r="D19" s="31"/>
      <c r="E19" s="32"/>
      <c r="F19" s="20"/>
      <c r="G19" s="125">
        <f>G12+G13+G17+G16</f>
        <v>30324182.169037305</v>
      </c>
      <c r="H19" s="125">
        <f>H12+H13+H17+H16</f>
        <v>0</v>
      </c>
      <c r="I19" s="125">
        <f>I12+I13+I17+I16</f>
        <v>0</v>
      </c>
      <c r="J19" s="125">
        <f>J12+J13+J17+J16</f>
        <v>0</v>
      </c>
      <c r="K19" s="125">
        <f t="shared" ref="K19" si="13">K12+K13+K17+K16</f>
        <v>3430000</v>
      </c>
      <c r="L19" s="125">
        <f t="shared" ref="L19:V19" si="14">L12+L13+L17+L16</f>
        <v>0</v>
      </c>
      <c r="M19" s="125">
        <f t="shared" si="14"/>
        <v>3686690</v>
      </c>
      <c r="N19" s="125">
        <f t="shared" si="14"/>
        <v>4006400</v>
      </c>
      <c r="O19" s="125">
        <f t="shared" si="14"/>
        <v>0</v>
      </c>
      <c r="P19" s="125">
        <f t="shared" si="14"/>
        <v>8431738.9120643735</v>
      </c>
      <c r="Q19" s="125">
        <f t="shared" si="14"/>
        <v>0</v>
      </c>
      <c r="R19" s="125">
        <f t="shared" si="14"/>
        <v>0</v>
      </c>
      <c r="S19" s="125">
        <f t="shared" si="14"/>
        <v>3290995.1213839166</v>
      </c>
      <c r="T19" s="125">
        <f t="shared" si="14"/>
        <v>2504000</v>
      </c>
      <c r="U19" s="125">
        <f t="shared" si="14"/>
        <v>0</v>
      </c>
      <c r="V19" s="125">
        <f t="shared" si="14"/>
        <v>4974358.135589011</v>
      </c>
      <c r="W19" s="91">
        <f>SUM(H19:V19)</f>
        <v>30324182.169037301</v>
      </c>
      <c r="X19" s="86"/>
      <c r="Y19" s="2"/>
      <c r="Z19" s="2"/>
      <c r="AA19" s="2"/>
      <c r="AB19"/>
      <c r="AC19"/>
      <c r="AD19"/>
      <c r="AE19"/>
      <c r="AF19"/>
      <c r="AG19"/>
      <c r="AH19"/>
      <c r="AI19"/>
      <c r="AJ19"/>
      <c r="AK19"/>
    </row>
    <row r="20" spans="1:58" x14ac:dyDescent="0.25">
      <c r="B20" s="23"/>
      <c r="C20" s="24"/>
      <c r="D20" s="30"/>
      <c r="E20" s="24"/>
      <c r="F20" s="25"/>
      <c r="G20" s="129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X20" s="86"/>
      <c r="Y20" s="2"/>
      <c r="Z20" s="2"/>
      <c r="AA20" s="2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F20"/>
    </row>
    <row r="21" spans="1:58" x14ac:dyDescent="0.25">
      <c r="B21" s="17" t="s">
        <v>8</v>
      </c>
      <c r="C21" s="34"/>
      <c r="D21" s="35"/>
      <c r="E21" s="36"/>
      <c r="F21" s="37"/>
      <c r="G21" s="128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X21" s="86"/>
      <c r="Y21" s="2"/>
      <c r="Z21" s="2"/>
      <c r="AA21" s="2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F21"/>
    </row>
    <row r="22" spans="1:58" x14ac:dyDescent="0.25">
      <c r="B22" s="23"/>
      <c r="C22" s="24"/>
      <c r="D22" s="38"/>
      <c r="E22" s="24"/>
      <c r="F22" s="25"/>
      <c r="G22" s="129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X22" s="86"/>
      <c r="Y22" s="2"/>
      <c r="Z22" s="2"/>
      <c r="AA22" s="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F22"/>
    </row>
    <row r="23" spans="1:58" s="43" customFormat="1" x14ac:dyDescent="0.25">
      <c r="A23" s="82"/>
      <c r="B23" s="39" t="s">
        <v>9</v>
      </c>
      <c r="C23" s="40"/>
      <c r="D23" s="40"/>
      <c r="E23" s="40"/>
      <c r="F23" s="41"/>
      <c r="G23" s="133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5"/>
      <c r="X23" s="86"/>
      <c r="Y23" s="2"/>
      <c r="Z23" s="2"/>
      <c r="AA23" s="2"/>
      <c r="AB23"/>
      <c r="AC23"/>
      <c r="AD23"/>
      <c r="AE23"/>
      <c r="AF23"/>
      <c r="AG23"/>
      <c r="AH23"/>
      <c r="AI23"/>
      <c r="AJ23"/>
      <c r="AK23"/>
    </row>
    <row r="24" spans="1:58" s="43" customFormat="1" x14ac:dyDescent="0.25">
      <c r="A24" s="82"/>
      <c r="B24" s="39"/>
      <c r="C24" s="40"/>
      <c r="D24" s="40"/>
      <c r="E24" s="40"/>
      <c r="F24" s="41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84"/>
      <c r="X24" s="86"/>
      <c r="Y24" s="2"/>
      <c r="Z24" s="2"/>
      <c r="AA24" s="2"/>
      <c r="AB24"/>
      <c r="AC24"/>
      <c r="AD24"/>
      <c r="AE24"/>
      <c r="AF24"/>
      <c r="AG24"/>
      <c r="AH24"/>
      <c r="AI24"/>
      <c r="AJ24"/>
      <c r="AK24"/>
    </row>
    <row r="25" spans="1:58" s="114" customFormat="1" x14ac:dyDescent="0.25">
      <c r="A25" s="108"/>
      <c r="B25" s="109"/>
      <c r="C25" s="110" t="s">
        <v>27</v>
      </c>
      <c r="D25" s="121" t="s">
        <v>22</v>
      </c>
      <c r="E25" s="111">
        <v>76</v>
      </c>
      <c r="F25" s="112"/>
      <c r="G25" s="131">
        <f>E25*38191</f>
        <v>2902516</v>
      </c>
      <c r="H25" s="124"/>
      <c r="I25" s="124"/>
      <c r="J25" s="124"/>
      <c r="K25" s="124"/>
      <c r="L25" s="124">
        <v>1451258</v>
      </c>
      <c r="M25" s="114">
        <v>1451258</v>
      </c>
      <c r="N25" s="140"/>
      <c r="O25" s="113"/>
      <c r="P25" s="113"/>
      <c r="Q25" s="113"/>
      <c r="R25" s="113"/>
      <c r="S25" s="113"/>
      <c r="T25" s="113"/>
      <c r="U25" s="113"/>
      <c r="V25" s="113"/>
      <c r="W25" s="84">
        <f t="shared" ref="W25:W35" si="15">SUM(H25:V25)</f>
        <v>2902516</v>
      </c>
      <c r="X25" s="86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58" s="118" customFormat="1" x14ac:dyDescent="0.25">
      <c r="A26" s="82"/>
      <c r="B26" s="115"/>
      <c r="C26" s="111" t="s">
        <v>28</v>
      </c>
      <c r="D26" s="122" t="s">
        <v>22</v>
      </c>
      <c r="E26" s="111">
        <v>128</v>
      </c>
      <c r="F26" s="116"/>
      <c r="G26" s="131">
        <f>E26*29097.6</f>
        <v>3724492.7999999998</v>
      </c>
      <c r="H26" s="113"/>
      <c r="I26" s="113"/>
      <c r="J26" s="117"/>
      <c r="K26" s="117"/>
      <c r="L26" s="142"/>
      <c r="M26" s="142"/>
      <c r="N26" s="142">
        <v>1862246</v>
      </c>
      <c r="O26" s="142">
        <v>1862247</v>
      </c>
      <c r="Q26" s="140"/>
      <c r="S26" s="141"/>
      <c r="T26" s="141"/>
      <c r="U26" s="141"/>
      <c r="V26" s="117"/>
      <c r="W26" s="84">
        <f t="shared" si="15"/>
        <v>3724493</v>
      </c>
      <c r="X26" s="86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58" s="118" customFormat="1" x14ac:dyDescent="0.25">
      <c r="A27" s="82"/>
      <c r="B27" s="115"/>
      <c r="C27" s="111" t="s">
        <v>29</v>
      </c>
      <c r="D27" s="122" t="s">
        <v>22</v>
      </c>
      <c r="E27" s="111">
        <v>62</v>
      </c>
      <c r="F27" s="116"/>
      <c r="G27" s="131">
        <f>E27*28124.4</f>
        <v>1743712.8</v>
      </c>
      <c r="H27" s="113"/>
      <c r="I27" s="113"/>
      <c r="J27" s="113"/>
      <c r="K27" s="113"/>
      <c r="L27" s="113"/>
      <c r="M27" s="117"/>
      <c r="N27" s="117"/>
      <c r="O27" s="117"/>
      <c r="P27" s="138"/>
      <c r="Q27" s="138">
        <v>871856</v>
      </c>
      <c r="R27" s="138">
        <v>871857</v>
      </c>
      <c r="T27" s="113"/>
      <c r="U27" s="113"/>
      <c r="V27" s="113"/>
      <c r="W27" s="84">
        <f t="shared" si="15"/>
        <v>1743713</v>
      </c>
      <c r="X27" s="86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58" s="118" customFormat="1" ht="13.8" thickBot="1" x14ac:dyDescent="0.3">
      <c r="A28" s="82"/>
      <c r="B28" s="115"/>
      <c r="C28" s="111" t="s">
        <v>26</v>
      </c>
      <c r="D28" s="122" t="s">
        <v>22</v>
      </c>
      <c r="E28" s="144">
        <v>80</v>
      </c>
      <c r="F28" s="116"/>
      <c r="G28" s="131">
        <f>E28*12875.1</f>
        <v>1030008</v>
      </c>
      <c r="H28" s="113"/>
      <c r="I28" s="113"/>
      <c r="J28" s="113"/>
      <c r="K28" s="113"/>
      <c r="L28" s="117"/>
      <c r="M28" s="117"/>
      <c r="N28" s="117"/>
      <c r="O28" s="117"/>
      <c r="P28" s="117"/>
      <c r="Q28" s="117"/>
      <c r="R28" s="117"/>
      <c r="S28" s="143">
        <v>515004</v>
      </c>
      <c r="T28" s="143">
        <v>515004</v>
      </c>
      <c r="U28" s="143"/>
      <c r="W28" s="84">
        <f t="shared" si="15"/>
        <v>1030008</v>
      </c>
      <c r="X28" s="86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58" s="118" customFormat="1" ht="13.8" thickTop="1" x14ac:dyDescent="0.25">
      <c r="A29" s="82"/>
      <c r="B29" s="115"/>
      <c r="C29" s="111"/>
      <c r="D29" s="122"/>
      <c r="E29" s="88">
        <f>SUM(E25:E28)</f>
        <v>346</v>
      </c>
      <c r="F29" s="116"/>
      <c r="G29" s="131"/>
      <c r="H29" s="113"/>
      <c r="I29" s="113"/>
      <c r="J29" s="113"/>
      <c r="K29" s="113"/>
      <c r="L29" s="113"/>
      <c r="M29" s="113"/>
      <c r="N29" s="113"/>
      <c r="O29" s="117"/>
      <c r="P29" s="117"/>
      <c r="Q29" s="117"/>
      <c r="R29" s="117"/>
      <c r="S29" s="117"/>
      <c r="T29" s="117"/>
      <c r="U29" s="117"/>
      <c r="V29" s="117"/>
      <c r="W29" s="84">
        <f t="shared" si="15"/>
        <v>0</v>
      </c>
      <c r="X29" s="86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58" s="118" customFormat="1" x14ac:dyDescent="0.25">
      <c r="A30" s="82"/>
      <c r="B30" s="115"/>
      <c r="C30" s="111"/>
      <c r="D30" s="111"/>
      <c r="E30" s="111"/>
      <c r="F30" s="116"/>
      <c r="G30" s="131"/>
      <c r="H30" s="113"/>
      <c r="I30" s="113"/>
      <c r="J30" s="113"/>
      <c r="K30" s="113"/>
      <c r="L30" s="113"/>
      <c r="M30" s="113"/>
      <c r="N30" s="117"/>
      <c r="O30" s="117"/>
      <c r="P30" s="117"/>
      <c r="Q30" s="117"/>
      <c r="R30" s="117"/>
      <c r="S30" s="117"/>
      <c r="T30" s="117"/>
      <c r="U30" s="117"/>
      <c r="V30" s="117"/>
      <c r="W30" s="84">
        <f t="shared" si="15"/>
        <v>0</v>
      </c>
      <c r="X30" s="86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58" s="118" customFormat="1" x14ac:dyDescent="0.25">
      <c r="A31" s="82"/>
      <c r="B31" s="115"/>
      <c r="C31" s="111" t="s">
        <v>37</v>
      </c>
      <c r="D31" s="111"/>
      <c r="E31" s="119"/>
      <c r="F31" s="116"/>
      <c r="G31" s="131">
        <v>1055000</v>
      </c>
      <c r="H31" s="113"/>
      <c r="I31" s="113"/>
      <c r="J31" s="113"/>
      <c r="K31" s="113"/>
      <c r="L31" s="117"/>
      <c r="M31" s="117">
        <v>422000</v>
      </c>
      <c r="N31" s="117"/>
      <c r="O31" s="117"/>
      <c r="P31" s="117">
        <v>211000</v>
      </c>
      <c r="Q31" s="117"/>
      <c r="S31" s="117">
        <v>211000</v>
      </c>
      <c r="T31" s="117"/>
      <c r="U31" s="117"/>
      <c r="V31" s="117">
        <v>211000</v>
      </c>
      <c r="W31" s="84">
        <f t="shared" si="15"/>
        <v>1055000</v>
      </c>
      <c r="X31" s="86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58" s="43" customFormat="1" x14ac:dyDescent="0.25">
      <c r="A32" s="82"/>
      <c r="B32" s="39"/>
      <c r="C32" s="40"/>
      <c r="D32" s="40"/>
      <c r="E32" s="88"/>
      <c r="F32" s="41"/>
      <c r="G32" s="131"/>
      <c r="H32" s="45"/>
      <c r="I32" s="45"/>
      <c r="J32" s="45"/>
      <c r="K32" s="45"/>
      <c r="L32" s="45"/>
      <c r="M32" s="45"/>
      <c r="N32" s="45"/>
      <c r="O32" s="46"/>
      <c r="P32" s="46"/>
      <c r="Q32" s="46"/>
      <c r="R32" s="46"/>
      <c r="S32" s="46"/>
      <c r="T32" s="46"/>
      <c r="U32" s="46"/>
      <c r="V32" s="46"/>
      <c r="W32" s="84">
        <f t="shared" si="15"/>
        <v>0</v>
      </c>
      <c r="X32" s="86"/>
      <c r="Y32" s="2"/>
      <c r="Z32" s="2"/>
      <c r="AA32" s="2"/>
      <c r="AB32"/>
      <c r="AC32"/>
      <c r="AD32"/>
      <c r="AE32"/>
      <c r="AF32"/>
      <c r="AG32"/>
      <c r="AH32"/>
      <c r="AI32"/>
      <c r="AJ32"/>
      <c r="AK32"/>
    </row>
    <row r="33" spans="1:58" s="43" customFormat="1" x14ac:dyDescent="0.25">
      <c r="A33" s="82"/>
      <c r="B33" s="39"/>
      <c r="C33" s="40"/>
      <c r="D33" s="40"/>
      <c r="E33" s="40"/>
      <c r="F33" s="41"/>
      <c r="G33" s="131"/>
      <c r="H33" s="45"/>
      <c r="I33" s="45"/>
      <c r="J33" s="45"/>
      <c r="K33" s="45"/>
      <c r="L33" s="45"/>
      <c r="M33" s="45"/>
      <c r="N33" s="45"/>
      <c r="O33" s="46"/>
      <c r="P33" s="46"/>
      <c r="Q33" s="46"/>
      <c r="R33" s="46"/>
      <c r="S33" s="46"/>
      <c r="T33" s="46"/>
      <c r="U33" s="46"/>
      <c r="V33" s="46"/>
      <c r="W33" s="84">
        <f t="shared" si="15"/>
        <v>0</v>
      </c>
      <c r="X33" s="86"/>
      <c r="Y33" s="2"/>
      <c r="Z33" s="2"/>
      <c r="AA33" s="2"/>
      <c r="AB33"/>
      <c r="AC33"/>
      <c r="AD33"/>
      <c r="AE33"/>
      <c r="AF33"/>
      <c r="AG33"/>
      <c r="AH33"/>
      <c r="AI33"/>
      <c r="AJ33"/>
      <c r="AK33"/>
    </row>
    <row r="34" spans="1:58" s="43" customFormat="1" x14ac:dyDescent="0.25">
      <c r="A34" s="82"/>
      <c r="B34" s="39"/>
      <c r="C34" s="47"/>
      <c r="D34" s="40"/>
      <c r="E34" s="40"/>
      <c r="F34" s="41"/>
      <c r="G34" s="133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84">
        <f t="shared" si="15"/>
        <v>0</v>
      </c>
      <c r="X34" s="86"/>
      <c r="Y34" s="2"/>
      <c r="Z34" s="2"/>
      <c r="AA34" s="2"/>
      <c r="AB34"/>
      <c r="AC34"/>
      <c r="AD34"/>
      <c r="AE34"/>
      <c r="AF34"/>
      <c r="AG34"/>
      <c r="AH34"/>
      <c r="AI34"/>
      <c r="AJ34"/>
      <c r="AK34"/>
    </row>
    <row r="35" spans="1:58" s="43" customFormat="1" x14ac:dyDescent="0.25">
      <c r="A35" s="82"/>
      <c r="B35" s="39" t="s">
        <v>10</v>
      </c>
      <c r="C35" s="40"/>
      <c r="D35" s="48"/>
      <c r="E35" s="49"/>
      <c r="F35" s="41"/>
      <c r="G35" s="134">
        <f t="shared" ref="G35:V35" si="16">SUM(G24:G34)</f>
        <v>10455729.6</v>
      </c>
      <c r="H35" s="50">
        <f>SUM(H24:H34)</f>
        <v>0</v>
      </c>
      <c r="I35" s="50">
        <f>SUM(I24:I34)</f>
        <v>0</v>
      </c>
      <c r="J35" s="50">
        <f>SUM(J24:J34)</f>
        <v>0</v>
      </c>
      <c r="K35" s="50">
        <f t="shared" ref="K35" si="17">SUM(K24:K34)</f>
        <v>0</v>
      </c>
      <c r="L35" s="50">
        <f t="shared" si="16"/>
        <v>1451258</v>
      </c>
      <c r="M35" s="50">
        <f t="shared" si="16"/>
        <v>1873258</v>
      </c>
      <c r="N35" s="50">
        <f t="shared" si="16"/>
        <v>1862246</v>
      </c>
      <c r="O35" s="50">
        <f t="shared" si="16"/>
        <v>1862247</v>
      </c>
      <c r="P35" s="50">
        <f t="shared" si="16"/>
        <v>211000</v>
      </c>
      <c r="Q35" s="50">
        <f t="shared" si="16"/>
        <v>871856</v>
      </c>
      <c r="R35" s="50">
        <f t="shared" si="16"/>
        <v>871857</v>
      </c>
      <c r="S35" s="50">
        <f t="shared" si="16"/>
        <v>726004</v>
      </c>
      <c r="T35" s="50">
        <f t="shared" si="16"/>
        <v>515004</v>
      </c>
      <c r="U35" s="50">
        <f t="shared" si="16"/>
        <v>0</v>
      </c>
      <c r="V35" s="50">
        <f t="shared" si="16"/>
        <v>211000</v>
      </c>
      <c r="W35" s="84">
        <f t="shared" si="15"/>
        <v>10455730</v>
      </c>
      <c r="X35" s="86"/>
      <c r="Y35" s="2"/>
      <c r="Z35" s="2"/>
      <c r="AA35" s="2"/>
      <c r="AB35"/>
      <c r="AC35"/>
      <c r="AD35"/>
      <c r="AE35"/>
      <c r="AF35"/>
      <c r="AG35"/>
      <c r="AH35"/>
      <c r="AI35"/>
      <c r="AJ35"/>
      <c r="AK35"/>
    </row>
    <row r="36" spans="1:58" s="56" customFormat="1" x14ac:dyDescent="0.25">
      <c r="A36" s="102"/>
      <c r="B36" s="51"/>
      <c r="C36" s="52"/>
      <c r="D36" s="53"/>
      <c r="E36" s="52"/>
      <c r="F36" s="54"/>
      <c r="G36" s="134"/>
      <c r="H36" s="55"/>
      <c r="I36" s="55"/>
      <c r="J36" s="55"/>
      <c r="K36" s="154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16"/>
      <c r="X36" s="86"/>
      <c r="Y36" s="2"/>
      <c r="Z36" s="2"/>
      <c r="AA36" s="2"/>
      <c r="AB36"/>
      <c r="AC36"/>
      <c r="AD36"/>
      <c r="AE36"/>
      <c r="AF36"/>
      <c r="AG36"/>
      <c r="AH36"/>
      <c r="AI36"/>
      <c r="AJ36"/>
      <c r="AK36"/>
    </row>
    <row r="37" spans="1:58" s="59" customFormat="1" x14ac:dyDescent="0.25">
      <c r="A37" s="103"/>
      <c r="B37" s="21" t="s">
        <v>11</v>
      </c>
      <c r="C37" s="57"/>
      <c r="D37" s="57"/>
      <c r="E37" s="57"/>
      <c r="F37" s="58"/>
      <c r="G37" s="133"/>
      <c r="H37" s="42"/>
      <c r="I37" s="42"/>
      <c r="J37" s="42"/>
      <c r="K37" s="153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16"/>
      <c r="X37" s="86"/>
      <c r="Y37" s="2"/>
      <c r="Z37" s="2"/>
      <c r="AA37" s="2"/>
      <c r="AB37"/>
      <c r="AC37"/>
      <c r="AD37"/>
      <c r="AE37"/>
      <c r="AF37"/>
      <c r="AG37"/>
      <c r="AH37"/>
      <c r="AI37"/>
      <c r="AJ37"/>
      <c r="AK37"/>
    </row>
    <row r="38" spans="1:58" s="77" customFormat="1" x14ac:dyDescent="0.25">
      <c r="A38" s="104"/>
      <c r="B38" s="21"/>
      <c r="C38" s="57" t="s">
        <v>21</v>
      </c>
      <c r="D38" s="57"/>
      <c r="E38" s="57"/>
      <c r="F38" s="58"/>
      <c r="G38" s="131">
        <f>0.17*G35</f>
        <v>1777474.0320000001</v>
      </c>
      <c r="H38" s="42">
        <f>G38*0.15</f>
        <v>266621.10480000003</v>
      </c>
      <c r="I38" s="42">
        <f>H38*0.87</f>
        <v>231960.36117600003</v>
      </c>
      <c r="J38" s="42">
        <f>I38*0.87</f>
        <v>201805.51422312003</v>
      </c>
      <c r="K38" s="42">
        <f t="shared" ref="K38:U38" si="18">J38*0.87</f>
        <v>175570.79737411442</v>
      </c>
      <c r="L38" s="42">
        <f t="shared" si="18"/>
        <v>152746.59371547954</v>
      </c>
      <c r="M38" s="42">
        <f t="shared" si="18"/>
        <v>132889.5365324672</v>
      </c>
      <c r="N38" s="42">
        <f t="shared" si="18"/>
        <v>115613.89678324647</v>
      </c>
      <c r="O38" s="42">
        <f t="shared" si="18"/>
        <v>100584.09020142443</v>
      </c>
      <c r="P38" s="42">
        <f t="shared" si="18"/>
        <v>87508.158475239252</v>
      </c>
      <c r="Q38" s="42">
        <f t="shared" si="18"/>
        <v>76132.097873458144</v>
      </c>
      <c r="R38" s="42">
        <f t="shared" si="18"/>
        <v>66234.92514990858</v>
      </c>
      <c r="S38" s="42">
        <f t="shared" si="18"/>
        <v>57624.384880420468</v>
      </c>
      <c r="T38" s="42">
        <f t="shared" si="18"/>
        <v>50133.214845965806</v>
      </c>
      <c r="U38" s="42">
        <f t="shared" si="18"/>
        <v>43615.896915990248</v>
      </c>
      <c r="V38" s="42">
        <v>18433</v>
      </c>
      <c r="W38" s="16">
        <f t="shared" ref="W38:W47" si="19">SUM(H38:V38)</f>
        <v>1777473.5729468346</v>
      </c>
      <c r="X38" s="86"/>
      <c r="Y38" s="2"/>
      <c r="Z38" s="2"/>
      <c r="AA38" s="2"/>
      <c r="AB38"/>
      <c r="AC38"/>
      <c r="AD38"/>
      <c r="AE38"/>
      <c r="AF38"/>
      <c r="AG38"/>
      <c r="AH38"/>
      <c r="AI38"/>
      <c r="AJ38"/>
      <c r="AK38"/>
    </row>
    <row r="39" spans="1:58" s="2" customFormat="1" x14ac:dyDescent="0.25">
      <c r="A39" s="89"/>
      <c r="B39" s="21"/>
      <c r="C39" s="36"/>
      <c r="D39" s="95"/>
      <c r="E39" s="36"/>
      <c r="F39" s="37"/>
      <c r="G39" s="130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>
        <f t="shared" ref="S39:V39" si="20">0.08/4*R58</f>
        <v>0</v>
      </c>
      <c r="T39" s="55">
        <f t="shared" si="20"/>
        <v>0</v>
      </c>
      <c r="U39" s="55">
        <f t="shared" si="20"/>
        <v>0</v>
      </c>
      <c r="V39" s="55">
        <f t="shared" si="20"/>
        <v>0</v>
      </c>
      <c r="W39" s="16">
        <f t="shared" si="19"/>
        <v>0</v>
      </c>
      <c r="X39" s="86"/>
    </row>
    <row r="40" spans="1:58" s="2" customFormat="1" x14ac:dyDescent="0.25">
      <c r="A40" s="89"/>
      <c r="B40" s="21"/>
      <c r="C40" s="36" t="s">
        <v>12</v>
      </c>
      <c r="D40" s="3"/>
      <c r="E40" s="36"/>
      <c r="F40" s="37"/>
      <c r="G40" s="130">
        <v>600000</v>
      </c>
      <c r="H40" s="15">
        <v>600000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6">
        <f t="shared" si="19"/>
        <v>600000</v>
      </c>
      <c r="X40" s="86"/>
    </row>
    <row r="41" spans="1:58" s="2" customFormat="1" x14ac:dyDescent="0.25">
      <c r="A41" s="89"/>
      <c r="B41" s="92"/>
      <c r="C41" s="36" t="s">
        <v>13</v>
      </c>
      <c r="D41" s="94"/>
      <c r="E41" s="93"/>
      <c r="F41" s="37"/>
      <c r="G41" s="131">
        <f>SUM(H41:V41)</f>
        <v>350000</v>
      </c>
      <c r="H41" s="29"/>
      <c r="I41" s="29"/>
      <c r="J41" s="29"/>
      <c r="K41" s="29"/>
      <c r="L41" s="29">
        <v>150000</v>
      </c>
      <c r="M41" s="29"/>
      <c r="N41" s="29"/>
      <c r="O41" s="29"/>
      <c r="P41" s="29">
        <v>120000</v>
      </c>
      <c r="Q41" s="29"/>
      <c r="R41" s="29"/>
      <c r="S41" s="29"/>
      <c r="T41" s="29">
        <v>80000</v>
      </c>
      <c r="U41" s="29"/>
      <c r="V41" s="29"/>
      <c r="W41" s="16">
        <f t="shared" si="19"/>
        <v>350000</v>
      </c>
      <c r="X41" s="86"/>
    </row>
    <row r="42" spans="1:58" s="2" customFormat="1" x14ac:dyDescent="0.25">
      <c r="A42" s="89"/>
      <c r="B42" s="92"/>
      <c r="C42" s="36" t="s">
        <v>35</v>
      </c>
      <c r="D42" s="94"/>
      <c r="E42" s="93"/>
      <c r="F42" s="37"/>
      <c r="G42" s="131">
        <f>SUM(H42:V42)</f>
        <v>450000</v>
      </c>
      <c r="H42" s="29">
        <v>30000</v>
      </c>
      <c r="I42" s="29">
        <v>30000</v>
      </c>
      <c r="J42" s="29">
        <v>30000</v>
      </c>
      <c r="K42" s="29">
        <v>30000</v>
      </c>
      <c r="L42" s="29">
        <v>30000</v>
      </c>
      <c r="M42" s="29">
        <v>30000</v>
      </c>
      <c r="N42" s="29">
        <v>30000</v>
      </c>
      <c r="O42" s="29">
        <v>30000</v>
      </c>
      <c r="P42" s="29">
        <v>30000</v>
      </c>
      <c r="Q42" s="29">
        <v>30000</v>
      </c>
      <c r="R42" s="29">
        <v>30000</v>
      </c>
      <c r="S42" s="29">
        <v>30000</v>
      </c>
      <c r="T42" s="29">
        <v>30000</v>
      </c>
      <c r="U42" s="29">
        <v>30000</v>
      </c>
      <c r="V42" s="29">
        <v>30000</v>
      </c>
      <c r="W42" s="16">
        <f t="shared" si="19"/>
        <v>450000</v>
      </c>
      <c r="X42" s="86"/>
    </row>
    <row r="43" spans="1:58" x14ac:dyDescent="0.25">
      <c r="B43" s="28"/>
      <c r="C43" s="24"/>
      <c r="D43" s="61"/>
      <c r="E43" s="24"/>
      <c r="F43" s="25"/>
      <c r="G43" s="129"/>
      <c r="H43" s="15"/>
      <c r="I43" s="15"/>
      <c r="J43" s="15"/>
      <c r="K43" s="151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6">
        <f t="shared" si="19"/>
        <v>0</v>
      </c>
      <c r="X43" s="86"/>
      <c r="Y43" s="2"/>
      <c r="Z43" s="2"/>
      <c r="AA43" s="2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F43"/>
    </row>
    <row r="44" spans="1:58" s="33" customFormat="1" x14ac:dyDescent="0.25">
      <c r="A44" s="89"/>
      <c r="B44" s="28" t="s">
        <v>14</v>
      </c>
      <c r="C44" s="62"/>
      <c r="D44" s="62"/>
      <c r="E44" s="62"/>
      <c r="F44" s="63"/>
      <c r="G44" s="134">
        <f t="shared" ref="G44:V44" si="21">SUM(G38:G43)</f>
        <v>3177474.0320000001</v>
      </c>
      <c r="H44" s="134">
        <f t="shared" si="21"/>
        <v>896621.10480000009</v>
      </c>
      <c r="I44" s="134">
        <f t="shared" si="21"/>
        <v>261960.36117600003</v>
      </c>
      <c r="J44" s="134">
        <f t="shared" si="21"/>
        <v>231805.51422312003</v>
      </c>
      <c r="K44" s="134">
        <f t="shared" si="21"/>
        <v>205570.79737411442</v>
      </c>
      <c r="L44" s="134">
        <f t="shared" si="21"/>
        <v>332746.59371547954</v>
      </c>
      <c r="M44" s="134">
        <f t="shared" si="21"/>
        <v>162889.5365324672</v>
      </c>
      <c r="N44" s="134">
        <f t="shared" si="21"/>
        <v>145613.89678324648</v>
      </c>
      <c r="O44" s="134">
        <f t="shared" si="21"/>
        <v>130584.09020142443</v>
      </c>
      <c r="P44" s="134">
        <f t="shared" si="21"/>
        <v>237508.15847523924</v>
      </c>
      <c r="Q44" s="134">
        <f t="shared" si="21"/>
        <v>106132.09787345814</v>
      </c>
      <c r="R44" s="134">
        <f t="shared" si="21"/>
        <v>96234.92514990858</v>
      </c>
      <c r="S44" s="134">
        <f t="shared" si="21"/>
        <v>87624.384880420461</v>
      </c>
      <c r="T44" s="134">
        <f t="shared" si="21"/>
        <v>160133.21484596579</v>
      </c>
      <c r="U44" s="134">
        <f t="shared" si="21"/>
        <v>73615.896915990248</v>
      </c>
      <c r="V44" s="134">
        <f t="shared" si="21"/>
        <v>48433</v>
      </c>
      <c r="W44" s="16">
        <f t="shared" si="19"/>
        <v>3177473.5729468348</v>
      </c>
      <c r="X44" s="86"/>
      <c r="Y44" s="2"/>
      <c r="Z44" s="2"/>
      <c r="AA44" s="2"/>
      <c r="AB44"/>
      <c r="AC44"/>
      <c r="AD44"/>
      <c r="AE44"/>
      <c r="AF44"/>
      <c r="AG44"/>
      <c r="AH44"/>
      <c r="AI44"/>
      <c r="AJ44"/>
      <c r="AK44"/>
    </row>
    <row r="45" spans="1:58" x14ac:dyDescent="0.25">
      <c r="B45" s="64"/>
      <c r="C45" s="30"/>
      <c r="D45" s="30"/>
      <c r="E45" s="24"/>
      <c r="F45" s="25"/>
      <c r="G45" s="129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6">
        <f t="shared" si="19"/>
        <v>0</v>
      </c>
      <c r="X45" s="86"/>
      <c r="Y45" s="2"/>
      <c r="Z45" s="2"/>
      <c r="AA45" s="2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F45"/>
    </row>
    <row r="46" spans="1:58" s="87" customFormat="1" x14ac:dyDescent="0.25">
      <c r="A46" s="82"/>
      <c r="B46" s="21" t="s">
        <v>15</v>
      </c>
      <c r="C46" s="19"/>
      <c r="D46" s="57"/>
      <c r="E46" s="57"/>
      <c r="F46" s="58"/>
      <c r="G46" s="125">
        <v>4500000</v>
      </c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16">
        <f t="shared" si="19"/>
        <v>0</v>
      </c>
      <c r="X46" s="86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58" x14ac:dyDescent="0.25">
      <c r="B47" s="23"/>
      <c r="C47" s="24"/>
      <c r="D47" s="30"/>
      <c r="E47" s="24"/>
      <c r="F47" s="25"/>
      <c r="G47" s="129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6">
        <f t="shared" si="19"/>
        <v>0</v>
      </c>
      <c r="X47" s="86"/>
      <c r="Y47" s="2"/>
      <c r="Z47" s="2"/>
      <c r="AA47" s="2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F47"/>
    </row>
    <row r="48" spans="1:58" s="33" customFormat="1" x14ac:dyDescent="0.25">
      <c r="A48" s="89"/>
      <c r="B48" s="21" t="s">
        <v>16</v>
      </c>
      <c r="C48" s="19"/>
      <c r="D48" s="19"/>
      <c r="E48" s="19"/>
      <c r="F48" s="20"/>
      <c r="G48" s="125">
        <f t="shared" ref="G48:V48" si="22">+G46+G44+G35</f>
        <v>18133203.631999999</v>
      </c>
      <c r="H48" s="55">
        <f t="shared" si="22"/>
        <v>896621.10480000009</v>
      </c>
      <c r="I48" s="55">
        <f t="shared" si="22"/>
        <v>261960.36117600003</v>
      </c>
      <c r="J48" s="55">
        <f t="shared" si="22"/>
        <v>231805.51422312003</v>
      </c>
      <c r="K48" s="55">
        <f t="shared" si="22"/>
        <v>205570.79737411442</v>
      </c>
      <c r="L48" s="55">
        <f t="shared" si="22"/>
        <v>1784004.5937154796</v>
      </c>
      <c r="M48" s="55">
        <f t="shared" si="22"/>
        <v>2036147.5365324672</v>
      </c>
      <c r="N48" s="55">
        <f t="shared" si="22"/>
        <v>2007859.8967832464</v>
      </c>
      <c r="O48" s="55">
        <f t="shared" si="22"/>
        <v>1992831.0902014244</v>
      </c>
      <c r="P48" s="55">
        <f t="shared" si="22"/>
        <v>448508.15847523924</v>
      </c>
      <c r="Q48" s="55">
        <f t="shared" si="22"/>
        <v>977988.09787345817</v>
      </c>
      <c r="R48" s="55">
        <f t="shared" si="22"/>
        <v>968091.92514990852</v>
      </c>
      <c r="S48" s="55">
        <f t="shared" si="22"/>
        <v>813628.38488042052</v>
      </c>
      <c r="T48" s="55">
        <f t="shared" si="22"/>
        <v>675137.21484596585</v>
      </c>
      <c r="U48" s="55">
        <f t="shared" si="22"/>
        <v>73615.896915990248</v>
      </c>
      <c r="V48" s="55">
        <f t="shared" si="22"/>
        <v>259433</v>
      </c>
      <c r="W48" s="16">
        <f>SUM(H48:V48)+G46</f>
        <v>18133203.572946835</v>
      </c>
      <c r="X48" s="86"/>
      <c r="Y48" s="2"/>
      <c r="Z48" s="2"/>
      <c r="AA48" s="2"/>
      <c r="AB48"/>
      <c r="AC48"/>
      <c r="AD48"/>
      <c r="AE48"/>
      <c r="AF48"/>
      <c r="AG48"/>
      <c r="AH48"/>
      <c r="AI48"/>
      <c r="AJ48"/>
      <c r="AK48"/>
    </row>
    <row r="49" spans="1:91" x14ac:dyDescent="0.25">
      <c r="B49" s="23"/>
      <c r="C49" s="24"/>
      <c r="D49" s="30"/>
      <c r="E49" s="24"/>
      <c r="F49" s="25"/>
      <c r="G49" s="129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6">
        <f>SUM(H49:V49)+G47</f>
        <v>0</v>
      </c>
      <c r="X49" s="86"/>
      <c r="Y49" s="2"/>
      <c r="Z49" s="2"/>
      <c r="AA49" s="2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F49"/>
    </row>
    <row r="50" spans="1:91" s="33" customFormat="1" x14ac:dyDescent="0.25">
      <c r="A50" s="89"/>
      <c r="B50" s="28" t="s">
        <v>17</v>
      </c>
      <c r="C50" s="62"/>
      <c r="D50" s="62"/>
      <c r="E50" s="62"/>
      <c r="F50" s="63"/>
      <c r="G50" s="13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16"/>
      <c r="X50" s="86"/>
      <c r="Y50" s="2"/>
      <c r="Z50" s="2"/>
      <c r="AA50" s="2"/>
      <c r="AB50"/>
      <c r="AC50"/>
      <c r="AD50"/>
      <c r="AE50"/>
      <c r="AF50"/>
      <c r="AG50"/>
      <c r="AH50"/>
      <c r="AI50"/>
      <c r="AJ50"/>
      <c r="AK50"/>
    </row>
    <row r="51" spans="1:91" s="8" customFormat="1" x14ac:dyDescent="0.25">
      <c r="A51" s="89"/>
      <c r="B51" s="21"/>
      <c r="C51" s="19" t="s">
        <v>18</v>
      </c>
      <c r="D51" s="19"/>
      <c r="E51" s="19"/>
      <c r="F51" s="20"/>
      <c r="G51" s="136">
        <f>G19-G48</f>
        <v>12190978.537037306</v>
      </c>
      <c r="H51" s="55">
        <f t="shared" ref="H51:V51" si="23">+H19-H48</f>
        <v>-896621.10480000009</v>
      </c>
      <c r="I51" s="55">
        <f t="shared" si="23"/>
        <v>-261960.36117600003</v>
      </c>
      <c r="J51" s="55">
        <f t="shared" si="23"/>
        <v>-231805.51422312003</v>
      </c>
      <c r="K51" s="55">
        <f t="shared" si="23"/>
        <v>3224429.2026258856</v>
      </c>
      <c r="L51" s="55">
        <f t="shared" si="23"/>
        <v>-1784004.5937154796</v>
      </c>
      <c r="M51" s="55">
        <f t="shared" si="23"/>
        <v>1650542.4634675328</v>
      </c>
      <c r="N51" s="55">
        <f t="shared" si="23"/>
        <v>1998540.1032167536</v>
      </c>
      <c r="O51" s="55">
        <f t="shared" si="23"/>
        <v>-1992831.0902014244</v>
      </c>
      <c r="P51" s="55">
        <f t="shared" si="23"/>
        <v>7983230.7535891347</v>
      </c>
      <c r="Q51" s="55">
        <f t="shared" si="23"/>
        <v>-977988.09787345817</v>
      </c>
      <c r="R51" s="55">
        <f t="shared" si="23"/>
        <v>-968091.92514990852</v>
      </c>
      <c r="S51" s="55">
        <f t="shared" si="23"/>
        <v>2477366.7365034958</v>
      </c>
      <c r="T51" s="55">
        <f t="shared" si="23"/>
        <v>1828862.7851540342</v>
      </c>
      <c r="U51" s="55">
        <f t="shared" si="23"/>
        <v>-73615.896915990248</v>
      </c>
      <c r="V51" s="55">
        <f t="shared" si="23"/>
        <v>4714925.135589011</v>
      </c>
      <c r="W51" s="84">
        <f>SUM(H51:V51)-G46</f>
        <v>12190978.596090466</v>
      </c>
      <c r="X51" s="86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91" s="69" customFormat="1" ht="13.8" thickBot="1" x14ac:dyDescent="0.3">
      <c r="A52" s="105"/>
      <c r="B52" s="65"/>
      <c r="C52" s="66"/>
      <c r="D52" s="67"/>
      <c r="E52" s="66"/>
      <c r="F52" s="68"/>
      <c r="G52" s="131"/>
      <c r="H52" s="15"/>
      <c r="I52" s="15"/>
      <c r="J52" s="15"/>
      <c r="K52" s="152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5"/>
      <c r="X52" s="86"/>
      <c r="Y52" s="2"/>
      <c r="Z52" s="2"/>
      <c r="AA52" s="2"/>
      <c r="AB52"/>
      <c r="AC52"/>
      <c r="AD52"/>
      <c r="AE52"/>
      <c r="AF52"/>
      <c r="AG52"/>
      <c r="AH52"/>
      <c r="AI52"/>
      <c r="AJ52"/>
      <c r="AK52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</row>
    <row r="53" spans="1:91" s="70" customFormat="1" x14ac:dyDescent="0.25">
      <c r="A53" s="106"/>
      <c r="B53" s="11"/>
      <c r="C53" s="12"/>
      <c r="D53" s="13"/>
      <c r="E53" s="12"/>
      <c r="F53" s="14"/>
      <c r="G53" s="127"/>
      <c r="H53" s="15"/>
      <c r="I53" s="15"/>
      <c r="J53" s="15"/>
      <c r="K53" s="151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5"/>
      <c r="X53" s="86"/>
      <c r="Y53" s="2"/>
      <c r="Z53" s="2"/>
      <c r="AA53" s="2"/>
      <c r="AB53"/>
      <c r="AC53"/>
      <c r="AD53"/>
      <c r="AE53"/>
      <c r="AF53"/>
      <c r="AG53"/>
      <c r="AH53"/>
      <c r="AI53"/>
      <c r="AJ53"/>
      <c r="AK53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</row>
    <row r="54" spans="1:91" s="8" customFormat="1" x14ac:dyDescent="0.25">
      <c r="A54" s="89"/>
      <c r="B54" s="21" t="s">
        <v>19</v>
      </c>
      <c r="C54" s="19"/>
      <c r="D54" s="19"/>
      <c r="E54" s="19"/>
      <c r="F54" s="20"/>
      <c r="G54" s="125"/>
      <c r="H54" s="55"/>
      <c r="I54" s="55"/>
      <c r="J54" s="55"/>
      <c r="K54" s="1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85"/>
      <c r="X54" s="86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91" s="8" customFormat="1" x14ac:dyDescent="0.25">
      <c r="A55" s="89"/>
      <c r="B55" s="21" t="s">
        <v>40</v>
      </c>
      <c r="C55" s="19"/>
      <c r="D55" s="19"/>
      <c r="E55" s="19"/>
      <c r="F55" s="20"/>
      <c r="G55" s="125"/>
      <c r="H55" s="55"/>
      <c r="I55" s="55"/>
      <c r="J55" s="55"/>
      <c r="K55" s="155"/>
      <c r="L55" s="55">
        <v>500000</v>
      </c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85"/>
      <c r="X55" s="86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91" s="8" customFormat="1" x14ac:dyDescent="0.25">
      <c r="A56" s="89"/>
      <c r="B56" s="21" t="s">
        <v>36</v>
      </c>
      <c r="C56" s="19"/>
      <c r="D56" s="19"/>
      <c r="E56" s="19"/>
      <c r="F56" s="20"/>
      <c r="G56" s="125"/>
      <c r="H56" s="55">
        <f>G58-G46-H44</f>
        <v>603378.89519999991</v>
      </c>
      <c r="I56" s="55">
        <f>H56-I44</f>
        <v>341418.53402399988</v>
      </c>
      <c r="J56" s="55">
        <f>I56-J44</f>
        <v>109613.01980087985</v>
      </c>
      <c r="K56" s="55">
        <f>J56-K44+H38+I38+J38+K38</f>
        <v>779999.99999999988</v>
      </c>
      <c r="L56" s="55">
        <f>K56-L44+L38</f>
        <v>599999.99999999988</v>
      </c>
      <c r="M56" s="55">
        <f>L56-M44+M38</f>
        <v>569999.99999999988</v>
      </c>
      <c r="N56" s="55">
        <f t="shared" ref="N56:O56" si="24">M56-N44+N38</f>
        <v>539999.99999999988</v>
      </c>
      <c r="O56" s="55">
        <f t="shared" si="24"/>
        <v>509999.99999999988</v>
      </c>
      <c r="P56" s="55">
        <f>O56-P44+P38-7956</f>
        <v>352043.99999999988</v>
      </c>
      <c r="Q56" s="55">
        <f>P56-Q44+Q38+Q14</f>
        <v>322043.99999999988</v>
      </c>
      <c r="R56" s="55">
        <f t="shared" ref="R56:V56" si="25">Q56-R44+R38+R14</f>
        <v>292043.99999999988</v>
      </c>
      <c r="S56" s="55">
        <f t="shared" si="25"/>
        <v>3553039.1213839166</v>
      </c>
      <c r="T56" s="55">
        <f t="shared" si="25"/>
        <v>3443039.1213839166</v>
      </c>
      <c r="U56" s="55">
        <f t="shared" si="25"/>
        <v>3413039.1213839166</v>
      </c>
      <c r="V56" s="55">
        <f t="shared" si="25"/>
        <v>7357397.2569729276</v>
      </c>
      <c r="W56" s="84"/>
      <c r="X56" s="86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91" s="8" customFormat="1" x14ac:dyDescent="0.25">
      <c r="A57" s="89"/>
      <c r="B57" s="21" t="s">
        <v>20</v>
      </c>
      <c r="C57" s="19"/>
      <c r="D57" s="19"/>
      <c r="E57" s="19"/>
      <c r="F57" s="20"/>
      <c r="G57" s="125"/>
      <c r="H57" s="125"/>
      <c r="I57" s="126"/>
      <c r="J57" s="126"/>
      <c r="K57" s="125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84"/>
      <c r="X57" s="86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91" s="8" customFormat="1" x14ac:dyDescent="0.25">
      <c r="A58" s="89"/>
      <c r="B58" s="21" t="s">
        <v>42</v>
      </c>
      <c r="C58" s="19"/>
      <c r="D58" s="19"/>
      <c r="E58" s="19"/>
      <c r="F58" s="20"/>
      <c r="G58" s="125">
        <v>6000000</v>
      </c>
      <c r="H58" s="125">
        <v>6000000</v>
      </c>
      <c r="I58" s="125">
        <v>6000000</v>
      </c>
      <c r="J58" s="125">
        <v>6000000</v>
      </c>
      <c r="K58" s="125">
        <v>6000000</v>
      </c>
      <c r="L58" s="125">
        <v>6000000</v>
      </c>
      <c r="M58" s="125">
        <f>L58+M59</f>
        <v>3613310</v>
      </c>
      <c r="N58" s="125">
        <f t="shared" ref="N58" si="26">M58-N61-N59</f>
        <v>3613310</v>
      </c>
      <c r="O58" s="125">
        <v>3613310</v>
      </c>
      <c r="P58" s="125">
        <f>O58+P59</f>
        <v>7955.8159517189488</v>
      </c>
      <c r="Q58" s="125"/>
      <c r="R58" s="125"/>
      <c r="S58" s="125"/>
      <c r="T58" s="125"/>
      <c r="U58" s="125"/>
      <c r="V58" s="125"/>
      <c r="W58" s="84"/>
      <c r="X58" s="86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91" s="8" customFormat="1" x14ac:dyDescent="0.25">
      <c r="A59" s="89"/>
      <c r="B59" s="21" t="s">
        <v>41</v>
      </c>
      <c r="C59" s="19"/>
      <c r="D59" s="19"/>
      <c r="E59" s="19"/>
      <c r="F59" s="20"/>
      <c r="G59" s="125"/>
      <c r="H59" s="155"/>
      <c r="I59" s="155"/>
      <c r="J59" s="155"/>
      <c r="K59" s="155">
        <v>1800000</v>
      </c>
      <c r="L59" s="155">
        <f>K59-L61</f>
        <v>1300000</v>
      </c>
      <c r="M59" s="155">
        <f>L59-M61</f>
        <v>-2386690</v>
      </c>
      <c r="N59" s="155"/>
      <c r="O59" s="155">
        <v>1263000</v>
      </c>
      <c r="P59" s="155">
        <f>O59-P61</f>
        <v>-3605354.1840482811</v>
      </c>
      <c r="Q59" s="155"/>
      <c r="R59" s="155"/>
      <c r="S59" s="155"/>
      <c r="T59" s="155"/>
      <c r="U59" s="155"/>
      <c r="V59" s="155"/>
      <c r="W59" s="84"/>
      <c r="X59" s="86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91" s="8" customFormat="1" x14ac:dyDescent="0.25">
      <c r="A60" s="89"/>
      <c r="B60" s="21"/>
      <c r="C60" s="19"/>
      <c r="D60" s="19"/>
      <c r="E60" s="19"/>
      <c r="F60" s="20"/>
      <c r="G60" s="125"/>
      <c r="H60" s="55"/>
      <c r="I60" s="55"/>
      <c r="J60" s="55"/>
      <c r="K60" s="1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84">
        <f>SUM(H60:V60)</f>
        <v>0</v>
      </c>
      <c r="X60" s="86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91" s="2" customFormat="1" x14ac:dyDescent="0.25">
      <c r="A61" s="89"/>
      <c r="B61" s="92"/>
      <c r="C61" s="36" t="s">
        <v>43</v>
      </c>
      <c r="D61" s="90"/>
      <c r="E61" s="36"/>
      <c r="F61" s="37"/>
      <c r="G61" s="125">
        <f>SUM(H61:V61)</f>
        <v>9055044.1840482801</v>
      </c>
      <c r="H61" s="15">
        <f t="shared" ref="H61:K61" si="27">0.75*H14</f>
        <v>0</v>
      </c>
      <c r="I61" s="15">
        <f t="shared" si="27"/>
        <v>0</v>
      </c>
      <c r="J61" s="15">
        <f t="shared" si="27"/>
        <v>0</v>
      </c>
      <c r="K61" s="15">
        <f t="shared" si="27"/>
        <v>0</v>
      </c>
      <c r="L61" s="15">
        <v>500000</v>
      </c>
      <c r="M61" s="15">
        <f>M14</f>
        <v>3686690</v>
      </c>
      <c r="N61" s="15"/>
      <c r="O61" s="15"/>
      <c r="P61" s="15">
        <f>0.75*P14</f>
        <v>4868354.1840482811</v>
      </c>
      <c r="Q61" s="15"/>
      <c r="R61" s="15"/>
      <c r="S61" s="15"/>
      <c r="T61" s="15"/>
      <c r="U61" s="15"/>
      <c r="V61" s="15"/>
      <c r="W61" s="84">
        <f>SUM(H61:V61)</f>
        <v>9055044.1840482801</v>
      </c>
      <c r="X61" s="86"/>
    </row>
    <row r="62" spans="1:91" s="2" customFormat="1" x14ac:dyDescent="0.25">
      <c r="A62" s="89"/>
      <c r="B62" s="92"/>
      <c r="C62" s="36"/>
      <c r="D62" s="90"/>
      <c r="E62" s="36"/>
      <c r="F62" s="37"/>
      <c r="G62" s="128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84">
        <f>SUM(H62:V62)-G56</f>
        <v>0</v>
      </c>
    </row>
    <row r="63" spans="1:91" s="2" customFormat="1" x14ac:dyDescent="0.25">
      <c r="A63" s="89"/>
      <c r="B63" s="92"/>
      <c r="C63" s="36"/>
      <c r="D63" s="90"/>
      <c r="E63" s="36"/>
      <c r="F63" s="37"/>
      <c r="G63" s="130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84">
        <f>SUM(H63:V63)-G57</f>
        <v>0</v>
      </c>
      <c r="X63" s="86"/>
    </row>
    <row r="64" spans="1:91" s="8" customFormat="1" x14ac:dyDescent="0.25">
      <c r="A64" s="89"/>
      <c r="B64" s="21"/>
      <c r="C64" s="19"/>
      <c r="D64" s="19"/>
      <c r="E64" s="19"/>
      <c r="F64" s="20"/>
      <c r="G64" s="12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84"/>
      <c r="X64" s="86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58" s="8" customFormat="1" ht="13.8" thickBot="1" x14ac:dyDescent="0.3">
      <c r="A65" s="89"/>
      <c r="B65" s="96"/>
      <c r="C65" s="97"/>
      <c r="D65" s="98"/>
      <c r="E65" s="97"/>
      <c r="F65" s="99"/>
      <c r="G65" s="13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86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58" s="2" customFormat="1" x14ac:dyDescent="0.25">
      <c r="A66" s="89"/>
      <c r="D66" s="3"/>
      <c r="G66" s="100"/>
      <c r="H66" s="100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6"/>
    </row>
    <row r="67" spans="1:58" s="2" customFormat="1" x14ac:dyDescent="0.25">
      <c r="A67" s="89"/>
      <c r="B67" s="120"/>
      <c r="C67"/>
      <c r="D67" s="60"/>
      <c r="E67"/>
      <c r="F67"/>
      <c r="G67" s="71"/>
      <c r="H67" s="71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85"/>
      <c r="Y67" s="85"/>
      <c r="AB67" s="86"/>
    </row>
    <row r="68" spans="1:58" s="2" customFormat="1" x14ac:dyDescent="0.25">
      <c r="A68" s="89"/>
      <c r="B68"/>
      <c r="C68"/>
      <c r="D68" s="60"/>
      <c r="E68"/>
      <c r="F68"/>
      <c r="G68" s="71"/>
      <c r="H68" s="71"/>
      <c r="I68" s="72"/>
      <c r="J68" s="72"/>
      <c r="K68" s="72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F68" s="86"/>
    </row>
    <row r="69" spans="1:58" x14ac:dyDescent="0.25"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16"/>
      <c r="Y69" s="16"/>
      <c r="Z69" s="16"/>
      <c r="AA69" s="16"/>
      <c r="AB69" s="16"/>
      <c r="AC69" s="16"/>
      <c r="AD69" s="16"/>
    </row>
    <row r="70" spans="1:58" x14ac:dyDescent="0.25">
      <c r="B70" s="73"/>
      <c r="C70" s="74"/>
      <c r="D70" s="74"/>
      <c r="E70" s="74"/>
      <c r="F70" s="74"/>
      <c r="G70" s="27"/>
      <c r="H70" s="27"/>
      <c r="I70" s="26"/>
      <c r="J70" s="26"/>
      <c r="K70" s="26"/>
      <c r="L70" s="27"/>
      <c r="M70" s="26"/>
      <c r="N70" s="27"/>
      <c r="O70" s="27"/>
      <c r="P70" s="27"/>
      <c r="Q70" s="26"/>
      <c r="R70" s="27"/>
      <c r="S70" s="27"/>
      <c r="T70" s="27"/>
      <c r="U70" s="26"/>
      <c r="V70" s="27"/>
      <c r="W70" s="27"/>
    </row>
    <row r="71" spans="1:58" x14ac:dyDescent="0.25">
      <c r="C71" s="75"/>
      <c r="D71" s="74"/>
      <c r="N71" s="71"/>
      <c r="Q71" s="27"/>
      <c r="R71" s="27"/>
      <c r="S71" s="27"/>
      <c r="U71" s="27"/>
      <c r="V71" s="27"/>
      <c r="W71" s="27"/>
      <c r="X71" s="22"/>
      <c r="Y71" s="22"/>
      <c r="Z71" s="22"/>
      <c r="AA71" s="22"/>
      <c r="AB71" s="22"/>
      <c r="AC71" s="22"/>
      <c r="AD71" s="22"/>
    </row>
    <row r="72" spans="1:58" x14ac:dyDescent="0.25">
      <c r="C72" s="76"/>
      <c r="D72" s="74"/>
      <c r="Q72" s="27"/>
      <c r="R72" s="27"/>
      <c r="S72" s="27"/>
      <c r="U72" s="27"/>
      <c r="V72" s="27"/>
      <c r="W72" s="27"/>
      <c r="X72" s="27"/>
      <c r="Y72" s="26"/>
      <c r="Z72" s="27"/>
      <c r="AA72" s="27"/>
      <c r="AB72" s="27"/>
      <c r="AC72" s="27"/>
      <c r="AD72" s="27"/>
    </row>
    <row r="73" spans="1:58" x14ac:dyDescent="0.25">
      <c r="C73" s="76"/>
      <c r="N73" s="16"/>
      <c r="Q73" s="27"/>
      <c r="R73" s="27"/>
      <c r="S73" s="27"/>
      <c r="U73" s="27"/>
      <c r="V73" s="27"/>
      <c r="W73" s="27"/>
      <c r="Y73" s="27"/>
      <c r="Z73" s="27"/>
      <c r="AA73" s="27"/>
      <c r="AB73" s="27"/>
      <c r="AC73" s="27"/>
      <c r="AD73" s="27"/>
    </row>
    <row r="74" spans="1:58" x14ac:dyDescent="0.25">
      <c r="Y74" s="27"/>
      <c r="Z74" s="27"/>
      <c r="AA74" s="27"/>
      <c r="AB74" s="27"/>
      <c r="AC74" s="27"/>
      <c r="AD74" s="27"/>
    </row>
    <row r="75" spans="1:58" x14ac:dyDescent="0.25">
      <c r="B75" s="73"/>
      <c r="I75" s="27"/>
      <c r="J75" s="27"/>
      <c r="K75" s="27"/>
      <c r="L75" s="27"/>
      <c r="N75" s="16"/>
      <c r="O75" s="27"/>
      <c r="P75" s="27"/>
      <c r="Q75" s="27"/>
      <c r="R75" s="27"/>
      <c r="S75" s="27"/>
      <c r="T75" s="27"/>
      <c r="U75" s="27"/>
      <c r="V75" s="27"/>
      <c r="W75" s="27"/>
      <c r="Y75" s="27"/>
      <c r="Z75" s="27"/>
      <c r="AA75" s="27"/>
      <c r="AB75" s="27"/>
      <c r="AC75" s="27"/>
      <c r="AD75" s="27"/>
    </row>
    <row r="76" spans="1:58" x14ac:dyDescent="0.25">
      <c r="M76" s="16"/>
      <c r="N76" s="16"/>
    </row>
    <row r="77" spans="1:58" x14ac:dyDescent="0.25">
      <c r="M77" s="145"/>
      <c r="N77" s="27"/>
      <c r="X77" s="27"/>
      <c r="Y77" s="27"/>
      <c r="Z77" s="27"/>
      <c r="AA77" s="27"/>
      <c r="AB77" s="27"/>
      <c r="AC77" s="27"/>
      <c r="AD77" s="27"/>
    </row>
    <row r="78" spans="1:58" x14ac:dyDescent="0.25">
      <c r="G78" s="101"/>
      <c r="H78" s="101"/>
      <c r="I78" s="16"/>
      <c r="J78" s="16"/>
      <c r="K78" s="16"/>
      <c r="L78" s="16"/>
      <c r="O78" s="16"/>
      <c r="P78" s="16"/>
      <c r="Q78" s="16"/>
      <c r="R78" s="16"/>
      <c r="S78" s="16"/>
      <c r="T78" s="16"/>
      <c r="U78" s="16"/>
      <c r="V78" s="16"/>
      <c r="W78" s="16"/>
    </row>
    <row r="79" spans="1:58" x14ac:dyDescent="0.25">
      <c r="N79" s="16"/>
    </row>
    <row r="80" spans="1:58" x14ac:dyDescent="0.25">
      <c r="X80" s="16"/>
      <c r="Y80" s="16"/>
      <c r="Z80" s="16"/>
      <c r="AA80" s="16"/>
      <c r="AB80" s="16"/>
      <c r="AC80" s="16"/>
      <c r="AD80" s="16"/>
    </row>
  </sheetData>
  <mergeCells count="8">
    <mergeCell ref="AI3:AL3"/>
    <mergeCell ref="AE3:AH3"/>
    <mergeCell ref="AA3:AD3"/>
    <mergeCell ref="G3:G4"/>
    <mergeCell ref="I3:K3"/>
    <mergeCell ref="L3:O3"/>
    <mergeCell ref="P3:S3"/>
    <mergeCell ref="T3:W3"/>
  </mergeCells>
  <phoneticPr fontId="0" type="noConversion"/>
  <pageMargins left="0.25" right="0.25" top="0.75" bottom="0.75" header="0.3" footer="0.3"/>
  <pageSetup paperSize="3" scale="67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techb</cp:lastModifiedBy>
  <cp:lastPrinted>2019-08-01T21:14:51Z</cp:lastPrinted>
  <dcterms:created xsi:type="dcterms:W3CDTF">2013-10-28T19:17:17Z</dcterms:created>
  <dcterms:modified xsi:type="dcterms:W3CDTF">2019-09-10T15:02:34Z</dcterms:modified>
</cp:coreProperties>
</file>